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2. 经营部\2.项目进展\150米三峡游轮装饰\14. 招标采购\6 ZJ2025-150ZS06  装饰工程劳务（标段Ⅲ）\招标文件\"/>
    </mc:Choice>
  </mc:AlternateContent>
  <xr:revisionPtr revIDLastSave="0" documentId="13_ncr:1_{63A48D4B-97C5-4FB0-ABB0-3812DA17BA57}" xr6:coauthVersionLast="47" xr6:coauthVersionMax="47" xr10:uidLastSave="{00000000-0000-0000-0000-000000000000}"/>
  <bookViews>
    <workbookView xWindow="-120" yWindow="-120" windowWidth="29040" windowHeight="15840" tabRatio="847" firstSheet="1" activeTab="1" xr2:uid="{00000000-000D-0000-FFFF-FFFF00000000}"/>
  </bookViews>
  <sheets>
    <sheet name="XXXXX" sheetId="1" state="hidden" r:id="rId1"/>
    <sheet name="封面" sheetId="9" r:id="rId2"/>
    <sheet name="汇总" sheetId="2" r:id="rId3"/>
    <sheet name="上甲板工程量" sheetId="3" r:id="rId4"/>
    <sheet name="游步甲板工程量" sheetId="10" r:id="rId5"/>
    <sheet name="观景甲板工程量" sheetId="11" r:id="rId6"/>
    <sheet name="驾驶甲板工程量" sheetId="12" r:id="rId7"/>
    <sheet name="阳光甲板工程量" sheetId="13" r:id="rId8"/>
    <sheet name="维修" sheetId="7" state="hidden" r:id="rId9"/>
    <sheet name="Sheet1" sheetId="8" state="hidden" r:id="rId10"/>
  </sheets>
  <definedNames>
    <definedName name="_xlnm._FilterDatabase" localSheetId="5" hidden="1">观景甲板工程量!$A$4:$J$111</definedName>
    <definedName name="_xlnm._FilterDatabase" localSheetId="6" hidden="1">驾驶甲板工程量!$A$4:$J$41</definedName>
    <definedName name="_xlnm._FilterDatabase" localSheetId="3" hidden="1">上甲板工程量!$A$4:$J$110</definedName>
    <definedName name="_xlnm._FilterDatabase" localSheetId="7" hidden="1">阳光甲板工程量!$A$4:$J$70</definedName>
    <definedName name="_xlnm._FilterDatabase" localSheetId="4" hidden="1">游步甲板工程量!$A$4:$J$97</definedName>
    <definedName name="_xlnm.Print_Area" localSheetId="2">汇总!$A$1:$F$52</definedName>
    <definedName name="_xlnm.Print_Titles" localSheetId="5">观景甲板工程量!$1:$4</definedName>
    <definedName name="_xlnm.Print_Titles" localSheetId="2">汇总!$1:$2</definedName>
    <definedName name="_xlnm.Print_Titles" localSheetId="6">驾驶甲板工程量!$1:$4</definedName>
    <definedName name="_xlnm.Print_Titles" localSheetId="3">上甲板工程量!$1:$4</definedName>
    <definedName name="_xlnm.Print_Titles" localSheetId="7">阳光甲板工程量!$1:$4</definedName>
    <definedName name="_xlnm.Print_Titles" localSheetId="4">游步甲板工程量!$1:$4</definedName>
    <definedName name="乙供">#REF!</definedName>
  </definedNames>
  <calcPr calcId="181029" fullPrecision="0"/>
</workbook>
</file>

<file path=xl/calcChain.xml><?xml version="1.0" encoding="utf-8"?>
<calcChain xmlns="http://schemas.openxmlformats.org/spreadsheetml/2006/main">
  <c r="J15" i="7" l="1"/>
  <c r="I15" i="7"/>
  <c r="J14" i="7"/>
  <c r="I14" i="7"/>
  <c r="J12" i="7"/>
  <c r="I12" i="7"/>
  <c r="D12" i="7"/>
  <c r="J11" i="7"/>
  <c r="I11" i="7"/>
  <c r="D11" i="7"/>
  <c r="J10" i="7"/>
  <c r="I10" i="7"/>
  <c r="J8" i="7"/>
  <c r="I8" i="7"/>
  <c r="J7" i="7"/>
  <c r="I7" i="7"/>
  <c r="I70" i="13"/>
  <c r="I69" i="13"/>
  <c r="H69" i="13"/>
  <c r="I68" i="13"/>
  <c r="H68" i="13"/>
  <c r="D68" i="13"/>
  <c r="I67" i="13"/>
  <c r="H67" i="13"/>
  <c r="D67" i="13"/>
  <c r="I66" i="13"/>
  <c r="H66" i="13"/>
  <c r="I65" i="13"/>
  <c r="H65" i="13"/>
  <c r="D65" i="13"/>
  <c r="I64" i="13"/>
  <c r="H64" i="13"/>
  <c r="D64" i="13"/>
  <c r="I62" i="13"/>
  <c r="H62" i="13"/>
  <c r="I61" i="13"/>
  <c r="H61" i="13"/>
  <c r="D61" i="13"/>
  <c r="I60" i="13"/>
  <c r="H60" i="13"/>
  <c r="I59" i="13"/>
  <c r="H59" i="13"/>
  <c r="D59" i="13"/>
  <c r="I58" i="13"/>
  <c r="H58" i="13"/>
  <c r="I57" i="13"/>
  <c r="H57" i="13"/>
  <c r="I56" i="13"/>
  <c r="H56" i="13"/>
  <c r="I55" i="13"/>
  <c r="H55" i="13"/>
  <c r="I52" i="13"/>
  <c r="I51" i="13"/>
  <c r="H51" i="13"/>
  <c r="I50" i="13"/>
  <c r="H50" i="13"/>
  <c r="D50" i="13"/>
  <c r="I49" i="13"/>
  <c r="H49" i="13"/>
  <c r="D49" i="13"/>
  <c r="I47" i="13"/>
  <c r="H47" i="13"/>
  <c r="D47" i="13"/>
  <c r="I46" i="13"/>
  <c r="H46" i="13"/>
  <c r="D46" i="13"/>
  <c r="I45" i="13"/>
  <c r="H45" i="13"/>
  <c r="D45" i="13"/>
  <c r="I42" i="13"/>
  <c r="I41" i="13"/>
  <c r="H41" i="13"/>
  <c r="I38" i="13"/>
  <c r="I37" i="13"/>
  <c r="H37" i="13"/>
  <c r="I36" i="13"/>
  <c r="H36" i="13"/>
  <c r="I35" i="13"/>
  <c r="H35" i="13"/>
  <c r="I34" i="13"/>
  <c r="H34" i="13"/>
  <c r="I33" i="13"/>
  <c r="H33" i="13"/>
  <c r="I31" i="13"/>
  <c r="H31" i="13"/>
  <c r="I30" i="13"/>
  <c r="H30" i="13"/>
  <c r="D30" i="13"/>
  <c r="I28" i="13"/>
  <c r="H28" i="13"/>
  <c r="I27" i="13"/>
  <c r="H27" i="13"/>
  <c r="D27" i="13"/>
  <c r="I26" i="13"/>
  <c r="H26" i="13"/>
  <c r="D26" i="13"/>
  <c r="I24" i="13"/>
  <c r="H24" i="13"/>
  <c r="I23" i="13"/>
  <c r="H23" i="13"/>
  <c r="D23" i="13"/>
  <c r="I22" i="13"/>
  <c r="H22" i="13"/>
  <c r="D22" i="13"/>
  <c r="I21" i="13"/>
  <c r="H21" i="13"/>
  <c r="D21" i="13"/>
  <c r="I18" i="13"/>
  <c r="I17" i="13"/>
  <c r="H17" i="13"/>
  <c r="D17" i="13"/>
  <c r="I16" i="13"/>
  <c r="H16" i="13"/>
  <c r="I15" i="13"/>
  <c r="H15" i="13"/>
  <c r="I14" i="13"/>
  <c r="H14" i="13"/>
  <c r="D14" i="13"/>
  <c r="I13" i="13"/>
  <c r="H13" i="13"/>
  <c r="D13" i="13"/>
  <c r="I11" i="13"/>
  <c r="H11" i="13"/>
  <c r="I10" i="13"/>
  <c r="H10" i="13"/>
  <c r="I9" i="13"/>
  <c r="H9" i="13"/>
  <c r="D9" i="13"/>
  <c r="I8" i="13"/>
  <c r="H8" i="13"/>
  <c r="I7" i="13"/>
  <c r="H7" i="13"/>
  <c r="I41" i="12"/>
  <c r="I40" i="12"/>
  <c r="H40" i="12"/>
  <c r="I39" i="12"/>
  <c r="H39" i="12"/>
  <c r="I38" i="12"/>
  <c r="H38" i="12"/>
  <c r="I37" i="12"/>
  <c r="H37" i="12"/>
  <c r="I36" i="12"/>
  <c r="H36" i="12"/>
  <c r="I34" i="12"/>
  <c r="H34" i="12"/>
  <c r="I33" i="12"/>
  <c r="H33" i="12"/>
  <c r="I31" i="12"/>
  <c r="H31" i="12"/>
  <c r="I30" i="12"/>
  <c r="H30" i="12"/>
  <c r="D30" i="12"/>
  <c r="I29" i="12"/>
  <c r="H29" i="12"/>
  <c r="D29" i="12"/>
  <c r="I27" i="12"/>
  <c r="H27" i="12"/>
  <c r="I26" i="12"/>
  <c r="H26" i="12"/>
  <c r="I25" i="12"/>
  <c r="H25" i="12"/>
  <c r="I24" i="12"/>
  <c r="H24" i="12"/>
  <c r="I21" i="12"/>
  <c r="I20" i="12"/>
  <c r="H20" i="12"/>
  <c r="D20" i="12"/>
  <c r="I19" i="12"/>
  <c r="H19" i="12"/>
  <c r="D19" i="12"/>
  <c r="I17" i="12"/>
  <c r="H17" i="12"/>
  <c r="D17" i="12"/>
  <c r="I16" i="12"/>
  <c r="H16" i="12"/>
  <c r="I15" i="12"/>
  <c r="H15" i="12"/>
  <c r="I14" i="12"/>
  <c r="H14" i="12"/>
  <c r="D14" i="12"/>
  <c r="I13" i="12"/>
  <c r="H13" i="12"/>
  <c r="D13" i="12"/>
  <c r="I11" i="12"/>
  <c r="H11" i="12"/>
  <c r="I10" i="12"/>
  <c r="H10" i="12"/>
  <c r="I9" i="12"/>
  <c r="H9" i="12"/>
  <c r="D9" i="12"/>
  <c r="I8" i="12"/>
  <c r="H8" i="12"/>
  <c r="I7" i="12"/>
  <c r="H7" i="12"/>
  <c r="D7" i="12"/>
  <c r="I111" i="11"/>
  <c r="I110" i="11"/>
  <c r="H110" i="11"/>
  <c r="I109" i="11"/>
  <c r="H109" i="11"/>
  <c r="D109" i="11"/>
  <c r="I108" i="11"/>
  <c r="H108" i="11"/>
  <c r="D108" i="11"/>
  <c r="I106" i="11"/>
  <c r="H106" i="11"/>
  <c r="D106" i="11"/>
  <c r="I105" i="11"/>
  <c r="H105" i="11"/>
  <c r="I104" i="11"/>
  <c r="H104" i="11"/>
  <c r="D104" i="11"/>
  <c r="I103" i="11"/>
  <c r="H103" i="11"/>
  <c r="D103" i="11"/>
  <c r="I102" i="11"/>
  <c r="H102" i="11"/>
  <c r="D102" i="11"/>
  <c r="I101" i="11"/>
  <c r="H101" i="11"/>
  <c r="D101" i="11"/>
  <c r="I98" i="11"/>
  <c r="I97" i="11"/>
  <c r="H97" i="11"/>
  <c r="D97" i="11"/>
  <c r="I96" i="11"/>
  <c r="H96" i="11"/>
  <c r="I95" i="11"/>
  <c r="H95" i="11"/>
  <c r="D95" i="11"/>
  <c r="I94" i="11"/>
  <c r="H94" i="11"/>
  <c r="D94" i="11"/>
  <c r="I93" i="11"/>
  <c r="H93" i="11"/>
  <c r="I92" i="11"/>
  <c r="H92" i="11"/>
  <c r="I91" i="11"/>
  <c r="H91" i="11"/>
  <c r="D91" i="11"/>
  <c r="I90" i="11"/>
  <c r="H90" i="11"/>
  <c r="D90" i="11"/>
  <c r="I88" i="11"/>
  <c r="H88" i="11"/>
  <c r="I87" i="11"/>
  <c r="H87" i="11"/>
  <c r="D87" i="11"/>
  <c r="I86" i="11"/>
  <c r="H86" i="11"/>
  <c r="I85" i="11"/>
  <c r="H85" i="11"/>
  <c r="I84" i="11"/>
  <c r="H84" i="11"/>
  <c r="I83" i="11"/>
  <c r="H83" i="11"/>
  <c r="I80" i="11"/>
  <c r="I79" i="11"/>
  <c r="H79" i="11"/>
  <c r="I77" i="11"/>
  <c r="H77" i="11"/>
  <c r="I76" i="11"/>
  <c r="H76" i="11"/>
  <c r="D76" i="11"/>
  <c r="I75" i="11"/>
  <c r="H75" i="11"/>
  <c r="D75" i="11"/>
  <c r="I73" i="11"/>
  <c r="H73" i="11"/>
  <c r="I72" i="11"/>
  <c r="H72" i="11"/>
  <c r="I71" i="11"/>
  <c r="H71" i="11"/>
  <c r="I70" i="11"/>
  <c r="H70" i="11"/>
  <c r="I67" i="11"/>
  <c r="I66" i="11"/>
  <c r="H66" i="11"/>
  <c r="I64" i="11"/>
  <c r="H64" i="11"/>
  <c r="I63" i="11"/>
  <c r="H63" i="11"/>
  <c r="D63" i="11"/>
  <c r="I62" i="11"/>
  <c r="H62" i="11"/>
  <c r="D62" i="11"/>
  <c r="I60" i="11"/>
  <c r="H60" i="11"/>
  <c r="I59" i="11"/>
  <c r="H59" i="11"/>
  <c r="I58" i="11"/>
  <c r="H58" i="11"/>
  <c r="I57" i="11"/>
  <c r="H57" i="11"/>
  <c r="I54" i="11"/>
  <c r="I53" i="11"/>
  <c r="H53" i="11"/>
  <c r="I52" i="11"/>
  <c r="H52" i="11"/>
  <c r="I51" i="11"/>
  <c r="H51" i="11"/>
  <c r="I50" i="11"/>
  <c r="H50" i="11"/>
  <c r="I49" i="11"/>
  <c r="H49" i="11"/>
  <c r="I47" i="11"/>
  <c r="H47" i="11"/>
  <c r="I46" i="11"/>
  <c r="H46" i="11"/>
  <c r="I45" i="11"/>
  <c r="H45" i="11"/>
  <c r="D45" i="11"/>
  <c r="I43" i="11"/>
  <c r="H43" i="11"/>
  <c r="I42" i="11"/>
  <c r="H42" i="11"/>
  <c r="D42" i="11"/>
  <c r="I41" i="11"/>
  <c r="H41" i="11"/>
  <c r="I39" i="11"/>
  <c r="H39" i="11"/>
  <c r="I38" i="11"/>
  <c r="H38" i="11"/>
  <c r="I37" i="11"/>
  <c r="H37" i="11"/>
  <c r="I36" i="11"/>
  <c r="H36" i="11"/>
  <c r="I33" i="11"/>
  <c r="I32" i="11"/>
  <c r="H32" i="11"/>
  <c r="I31" i="11"/>
  <c r="H31" i="11"/>
  <c r="I30" i="11"/>
  <c r="H30" i="11"/>
  <c r="I28" i="11"/>
  <c r="H28" i="11"/>
  <c r="I27" i="11"/>
  <c r="H27" i="11"/>
  <c r="I26" i="11"/>
  <c r="H26" i="11"/>
  <c r="I25" i="11"/>
  <c r="H25" i="11"/>
  <c r="I22" i="11"/>
  <c r="I21" i="11"/>
  <c r="H21" i="11"/>
  <c r="D21" i="11"/>
  <c r="I20" i="11"/>
  <c r="H20" i="11"/>
  <c r="D20" i="11"/>
  <c r="I19" i="11"/>
  <c r="H19" i="11"/>
  <c r="D19" i="11"/>
  <c r="I17" i="11"/>
  <c r="H17" i="11"/>
  <c r="D17" i="11"/>
  <c r="I16" i="11"/>
  <c r="H16" i="11"/>
  <c r="I15" i="11"/>
  <c r="H15" i="11"/>
  <c r="I14" i="11"/>
  <c r="H14" i="11"/>
  <c r="D14" i="11"/>
  <c r="I13" i="11"/>
  <c r="H13" i="11"/>
  <c r="D13" i="11"/>
  <c r="I11" i="11"/>
  <c r="H11" i="11"/>
  <c r="I10" i="11"/>
  <c r="H10" i="11"/>
  <c r="D10" i="11"/>
  <c r="I9" i="11"/>
  <c r="H9" i="11"/>
  <c r="D9" i="11"/>
  <c r="I8" i="11"/>
  <c r="H8" i="11"/>
  <c r="D8" i="11"/>
  <c r="I7" i="11"/>
  <c r="H7" i="11"/>
  <c r="D7" i="11"/>
  <c r="I97" i="10"/>
  <c r="I96" i="10"/>
  <c r="H96" i="10"/>
  <c r="I95" i="10"/>
  <c r="H95" i="10"/>
  <c r="I94" i="10"/>
  <c r="H94" i="10"/>
  <c r="D94" i="10"/>
  <c r="I92" i="10"/>
  <c r="H92" i="10"/>
  <c r="I91" i="10"/>
  <c r="H91" i="10"/>
  <c r="D91" i="10"/>
  <c r="I90" i="10"/>
  <c r="H90" i="10"/>
  <c r="D90" i="10"/>
  <c r="I89" i="10"/>
  <c r="H89" i="10"/>
  <c r="D89" i="10"/>
  <c r="I86" i="10"/>
  <c r="I85" i="10"/>
  <c r="H85" i="10"/>
  <c r="D85" i="10"/>
  <c r="I84" i="10"/>
  <c r="H84" i="10"/>
  <c r="I83" i="10"/>
  <c r="H83" i="10"/>
  <c r="I82" i="10"/>
  <c r="H82" i="10"/>
  <c r="D82" i="10"/>
  <c r="I81" i="10"/>
  <c r="H81" i="10"/>
  <c r="I80" i="10"/>
  <c r="H80" i="10"/>
  <c r="D80" i="10"/>
  <c r="I79" i="10"/>
  <c r="H79" i="10"/>
  <c r="D79" i="10"/>
  <c r="I77" i="10"/>
  <c r="H77" i="10"/>
  <c r="I76" i="10"/>
  <c r="H76" i="10"/>
  <c r="D76" i="10"/>
  <c r="I75" i="10"/>
  <c r="H75" i="10"/>
  <c r="I74" i="10"/>
  <c r="H74" i="10"/>
  <c r="D74" i="10"/>
  <c r="I73" i="10"/>
  <c r="H73" i="10"/>
  <c r="I70" i="10"/>
  <c r="I69" i="10"/>
  <c r="H69" i="10"/>
  <c r="I67" i="10"/>
  <c r="H67" i="10"/>
  <c r="I66" i="10"/>
  <c r="H66" i="10"/>
  <c r="D66" i="10"/>
  <c r="I65" i="10"/>
  <c r="H65" i="10"/>
  <c r="D65" i="10"/>
  <c r="I63" i="10"/>
  <c r="H63" i="10"/>
  <c r="I62" i="10"/>
  <c r="H62" i="10"/>
  <c r="I61" i="10"/>
  <c r="H61" i="10"/>
  <c r="I60" i="10"/>
  <c r="H60" i="10"/>
  <c r="I57" i="10"/>
  <c r="I56" i="10"/>
  <c r="H56" i="10"/>
  <c r="I55" i="10"/>
  <c r="H55" i="10"/>
  <c r="D55" i="10"/>
  <c r="I54" i="10"/>
  <c r="H54" i="10"/>
  <c r="I52" i="10"/>
  <c r="H52" i="10"/>
  <c r="I51" i="10"/>
  <c r="H51" i="10"/>
  <c r="D51" i="10"/>
  <c r="I50" i="10"/>
  <c r="H50" i="10"/>
  <c r="D50" i="10"/>
  <c r="I48" i="10"/>
  <c r="H48" i="10"/>
  <c r="I47" i="10"/>
  <c r="H47" i="10"/>
  <c r="I46" i="10"/>
  <c r="H46" i="10"/>
  <c r="I45" i="10"/>
  <c r="H45" i="10"/>
  <c r="I42" i="10"/>
  <c r="I41" i="10"/>
  <c r="H41" i="10"/>
  <c r="I40" i="10"/>
  <c r="H40" i="10"/>
  <c r="I39" i="10"/>
  <c r="H39" i="10"/>
  <c r="I38" i="10"/>
  <c r="H38" i="10"/>
  <c r="I37" i="10"/>
  <c r="H37" i="10"/>
  <c r="I35" i="10"/>
  <c r="H35" i="10"/>
  <c r="I34" i="10"/>
  <c r="H34" i="10"/>
  <c r="I32" i="10"/>
  <c r="H32" i="10"/>
  <c r="I31" i="10"/>
  <c r="H31" i="10"/>
  <c r="D31" i="10"/>
  <c r="I30" i="10"/>
  <c r="H30" i="10"/>
  <c r="D30" i="10"/>
  <c r="I28" i="10"/>
  <c r="H28" i="10"/>
  <c r="I27" i="10"/>
  <c r="H27" i="10"/>
  <c r="D27" i="10"/>
  <c r="I26" i="10"/>
  <c r="H26" i="10"/>
  <c r="D26" i="10"/>
  <c r="I25" i="10"/>
  <c r="H25" i="10"/>
  <c r="D25" i="10"/>
  <c r="I22" i="10"/>
  <c r="I21" i="10"/>
  <c r="H21" i="10"/>
  <c r="D21" i="10"/>
  <c r="I20" i="10"/>
  <c r="H20" i="10"/>
  <c r="D20" i="10"/>
  <c r="I19" i="10"/>
  <c r="H19" i="10"/>
  <c r="D19" i="10"/>
  <c r="I17" i="10"/>
  <c r="H17" i="10"/>
  <c r="D17" i="10"/>
  <c r="I16" i="10"/>
  <c r="H16" i="10"/>
  <c r="I15" i="10"/>
  <c r="H15" i="10"/>
  <c r="I14" i="10"/>
  <c r="H14" i="10"/>
  <c r="D14" i="10"/>
  <c r="I13" i="10"/>
  <c r="H13" i="10"/>
  <c r="D13" i="10"/>
  <c r="I11" i="10"/>
  <c r="H11" i="10"/>
  <c r="D11" i="10"/>
  <c r="I10" i="10"/>
  <c r="H10" i="10"/>
  <c r="I9" i="10"/>
  <c r="H9" i="10"/>
  <c r="D9" i="10"/>
  <c r="I8" i="10"/>
  <c r="H8" i="10"/>
  <c r="D8" i="10"/>
  <c r="I7" i="10"/>
  <c r="H7" i="10"/>
  <c r="D7" i="10"/>
  <c r="I110" i="3"/>
  <c r="I109" i="3"/>
  <c r="H109" i="3"/>
  <c r="I107" i="3"/>
  <c r="H107" i="3"/>
  <c r="I106" i="3"/>
  <c r="H106" i="3"/>
  <c r="I105" i="3"/>
  <c r="H105" i="3"/>
  <c r="D105" i="3"/>
  <c r="I104" i="3"/>
  <c r="H104" i="3"/>
  <c r="I103" i="3"/>
  <c r="H103" i="3"/>
  <c r="D103" i="3"/>
  <c r="I102" i="3"/>
  <c r="H102" i="3"/>
  <c r="D102" i="3"/>
  <c r="I100" i="3"/>
  <c r="H100" i="3"/>
  <c r="I99" i="3"/>
  <c r="H99" i="3"/>
  <c r="D99" i="3"/>
  <c r="I98" i="3"/>
  <c r="H98" i="3"/>
  <c r="I97" i="3"/>
  <c r="H97" i="3"/>
  <c r="D97" i="3"/>
  <c r="I96" i="3"/>
  <c r="H96" i="3"/>
  <c r="D96" i="3"/>
  <c r="I93" i="3"/>
  <c r="I92" i="3"/>
  <c r="H92" i="3"/>
  <c r="I90" i="3"/>
  <c r="H90" i="3"/>
  <c r="I89" i="3"/>
  <c r="H89" i="3"/>
  <c r="D89" i="3"/>
  <c r="I88" i="3"/>
  <c r="H88" i="3"/>
  <c r="D88" i="3"/>
  <c r="I86" i="3"/>
  <c r="H86" i="3"/>
  <c r="I85" i="3"/>
  <c r="H85" i="3"/>
  <c r="I84" i="3"/>
  <c r="H84" i="3"/>
  <c r="I83" i="3"/>
  <c r="H83" i="3"/>
  <c r="I80" i="3"/>
  <c r="I79" i="3"/>
  <c r="H79" i="3"/>
  <c r="I77" i="3"/>
  <c r="H77" i="3"/>
  <c r="I76" i="3"/>
  <c r="H76" i="3"/>
  <c r="D76" i="3"/>
  <c r="I75" i="3"/>
  <c r="H75" i="3"/>
  <c r="D75" i="3"/>
  <c r="I73" i="3"/>
  <c r="H73" i="3"/>
  <c r="I72" i="3"/>
  <c r="H72" i="3"/>
  <c r="I71" i="3"/>
  <c r="H71" i="3"/>
  <c r="I70" i="3"/>
  <c r="H70" i="3"/>
  <c r="I67" i="3"/>
  <c r="I66" i="3"/>
  <c r="H66" i="3"/>
  <c r="I65" i="3"/>
  <c r="H65" i="3"/>
  <c r="I64" i="3"/>
  <c r="H64" i="3"/>
  <c r="I63" i="3"/>
  <c r="H63" i="3"/>
  <c r="I62" i="3"/>
  <c r="H62" i="3"/>
  <c r="I60" i="3"/>
  <c r="H60" i="3"/>
  <c r="I59" i="3"/>
  <c r="H59" i="3"/>
  <c r="D59" i="3"/>
  <c r="I58" i="3"/>
  <c r="H58" i="3"/>
  <c r="D58" i="3"/>
  <c r="I56" i="3"/>
  <c r="H56" i="3"/>
  <c r="I55" i="3"/>
  <c r="H55" i="3"/>
  <c r="D55" i="3"/>
  <c r="I54" i="3"/>
  <c r="H54" i="3"/>
  <c r="D54" i="3"/>
  <c r="I52" i="3"/>
  <c r="H52" i="3"/>
  <c r="I51" i="3"/>
  <c r="H51" i="3"/>
  <c r="D51" i="3"/>
  <c r="I50" i="3"/>
  <c r="H50" i="3"/>
  <c r="D50" i="3"/>
  <c r="I49" i="3"/>
  <c r="H49" i="3"/>
  <c r="D49" i="3"/>
  <c r="I46" i="3"/>
  <c r="I45" i="3"/>
  <c r="H45" i="3"/>
  <c r="I44" i="3"/>
  <c r="H44" i="3"/>
  <c r="D44" i="3"/>
  <c r="I43" i="3"/>
  <c r="H43" i="3"/>
  <c r="I41" i="3"/>
  <c r="H41" i="3"/>
  <c r="I40" i="3"/>
  <c r="H40" i="3"/>
  <c r="I39" i="3"/>
  <c r="H39" i="3"/>
  <c r="I38" i="3"/>
  <c r="H38" i="3"/>
  <c r="I35" i="3"/>
  <c r="I34" i="3"/>
  <c r="H34" i="3"/>
  <c r="I33" i="3"/>
  <c r="H33" i="3"/>
  <c r="D33" i="3"/>
  <c r="I32" i="3"/>
  <c r="H32" i="3"/>
  <c r="I30" i="3"/>
  <c r="H30" i="3"/>
  <c r="I29" i="3"/>
  <c r="H29" i="3"/>
  <c r="I28" i="3"/>
  <c r="H28" i="3"/>
  <c r="I27" i="3"/>
  <c r="H27" i="3"/>
  <c r="I24" i="3"/>
  <c r="I23" i="3"/>
  <c r="H23" i="3"/>
  <c r="D23" i="3"/>
  <c r="I22" i="3"/>
  <c r="H22" i="3"/>
  <c r="D22" i="3"/>
  <c r="I21" i="3"/>
  <c r="H21" i="3"/>
  <c r="D21" i="3"/>
  <c r="I19" i="3"/>
  <c r="H19" i="3"/>
  <c r="D19" i="3"/>
  <c r="I18" i="3"/>
  <c r="H18" i="3"/>
  <c r="I17" i="3"/>
  <c r="H17" i="3"/>
  <c r="D17" i="3"/>
  <c r="I16" i="3"/>
  <c r="H16" i="3"/>
  <c r="I15" i="3"/>
  <c r="H15" i="3"/>
  <c r="D15" i="3"/>
  <c r="I14" i="3"/>
  <c r="H14" i="3"/>
  <c r="I13" i="3"/>
  <c r="H13" i="3"/>
  <c r="D13" i="3"/>
  <c r="I12" i="3"/>
  <c r="H12" i="3"/>
  <c r="D12" i="3"/>
  <c r="I10" i="3"/>
  <c r="H10" i="3"/>
  <c r="I9" i="3"/>
  <c r="H9" i="3"/>
  <c r="I8" i="3"/>
  <c r="H8" i="3"/>
  <c r="D8" i="3"/>
  <c r="I7" i="3"/>
  <c r="H7" i="3"/>
  <c r="D7" i="3"/>
  <c r="E52" i="2"/>
  <c r="E47" i="2"/>
  <c r="E41" i="2"/>
  <c r="E40" i="2"/>
  <c r="E39" i="2"/>
  <c r="E38" i="2"/>
  <c r="E37" i="2"/>
  <c r="E36" i="2"/>
  <c r="E35" i="2"/>
  <c r="E33" i="2"/>
  <c r="E32" i="2"/>
  <c r="E31" i="2"/>
  <c r="E29" i="2"/>
  <c r="E28" i="2"/>
  <c r="E27" i="2"/>
  <c r="E26" i="2"/>
  <c r="E25" i="2"/>
  <c r="E24" i="2"/>
  <c r="E23" i="2"/>
  <c r="E22" i="2"/>
  <c r="E20" i="2"/>
  <c r="E19" i="2"/>
  <c r="E18" i="2"/>
  <c r="E17" i="2"/>
  <c r="E16" i="2"/>
  <c r="E15" i="2"/>
  <c r="E14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<sst xmlns="http://schemas.openxmlformats.org/spreadsheetml/2006/main" count="1211" uniqueCount="242">
  <si>
    <t>建 设 地 点：重庆市涪陵区中江船业内</t>
  </si>
  <si>
    <t>工 程 类 别：装修工程</t>
  </si>
  <si>
    <t>工 程 造 价：</t>
  </si>
  <si>
    <t>元</t>
  </si>
  <si>
    <t>日期：</t>
  </si>
  <si>
    <t>重轮长江云帆游轮标段III装饰工程量清单</t>
  </si>
  <si>
    <t>序号</t>
  </si>
  <si>
    <t>单位工程</t>
  </si>
  <si>
    <t>计量
单位</t>
  </si>
  <si>
    <t>工程计量</t>
  </si>
  <si>
    <t>合计</t>
  </si>
  <si>
    <t>备注</t>
  </si>
  <si>
    <t>壹</t>
  </si>
  <si>
    <t>装饰安装工程</t>
  </si>
  <si>
    <t>一</t>
  </si>
  <si>
    <t>上甲板区域</t>
  </si>
  <si>
    <t>主甲板接待大厅</t>
  </si>
  <si>
    <t>间</t>
  </si>
  <si>
    <t>值班室</t>
  </si>
  <si>
    <t>广播室</t>
  </si>
  <si>
    <t>公共卫生间</t>
  </si>
  <si>
    <t>备餐间（一）</t>
  </si>
  <si>
    <t>备餐间（洗碗间）</t>
  </si>
  <si>
    <t>自助餐厅</t>
  </si>
  <si>
    <t>上甲板区域合计</t>
  </si>
  <si>
    <t>二</t>
  </si>
  <si>
    <t>游步甲板区域</t>
  </si>
  <si>
    <t>游步甲板中厅</t>
  </si>
  <si>
    <t>餐厅包房</t>
  </si>
  <si>
    <t>游步甲板区域合计</t>
  </si>
  <si>
    <t>三</t>
  </si>
  <si>
    <t>观景甲板区域</t>
  </si>
  <si>
    <t>观景甲板中厅</t>
  </si>
  <si>
    <t>医务室</t>
  </si>
  <si>
    <t>VIP餐厅</t>
  </si>
  <si>
    <t>观景甲板区域合计</t>
  </si>
  <si>
    <t>四</t>
  </si>
  <si>
    <t>驾驶甲板区域</t>
  </si>
  <si>
    <t>驾驶甲板中厅</t>
  </si>
  <si>
    <t>驾驶甲板区域合计</t>
  </si>
  <si>
    <t>五</t>
  </si>
  <si>
    <t>阳光甲板区域</t>
  </si>
  <si>
    <t>阳光甲板中厅</t>
  </si>
  <si>
    <t>储物间</t>
  </si>
  <si>
    <t>更衣室/音控室</t>
  </si>
  <si>
    <t>多功能厅</t>
  </si>
  <si>
    <t>阳光甲板区域合计</t>
  </si>
  <si>
    <t>工程直接费合计</t>
  </si>
  <si>
    <t>贰</t>
  </si>
  <si>
    <t>生产专项费用</t>
  </si>
  <si>
    <t>管理费成本</t>
  </si>
  <si>
    <t>项</t>
  </si>
  <si>
    <t>含：材料采购、施工组织、工艺设计、水电搭接、后勤配套，现场管理、检验配合、资料打印、清理等费用；投标单位自行填报</t>
  </si>
  <si>
    <t>工程保险费</t>
  </si>
  <si>
    <t>建筑工程一切险（含财产险、第三者险）、建筑工程意外险（保额100+5万）；投标单位自行填报</t>
  </si>
  <si>
    <t>安全文明施工费</t>
  </si>
  <si>
    <t>脚手架、劳保用品、成品保护、清洁除渣、二次搬运、夜间施工等；投标单位自行填报</t>
  </si>
  <si>
    <t>其他（工人食宿交通等费用）</t>
  </si>
  <si>
    <t>生产专项费用合计</t>
  </si>
  <si>
    <t>叁</t>
  </si>
  <si>
    <t>利润、税金</t>
  </si>
  <si>
    <t>装饰工程利润</t>
  </si>
  <si>
    <t>增值税税金（发票税率9%）</t>
  </si>
  <si>
    <t>利润、税金费用合计</t>
  </si>
  <si>
    <t>肆</t>
  </si>
  <si>
    <t>造价合计</t>
  </si>
  <si>
    <t>单项工程装饰工程计价清单</t>
  </si>
  <si>
    <t>工程名称：重轮长江云帆游轮装饰工程标段III（公区）</t>
  </si>
  <si>
    <t>项 目 名 称</t>
  </si>
  <si>
    <t>计量单位</t>
  </si>
  <si>
    <t>工程量</t>
  </si>
  <si>
    <t>人工费</t>
  </si>
  <si>
    <t>主材费</t>
  </si>
  <si>
    <t>辅材费</t>
  </si>
  <si>
    <t>综合单价</t>
  </si>
  <si>
    <t>总合价　　　　　　</t>
  </si>
  <si>
    <t>项目特征</t>
  </si>
  <si>
    <t>上甲板接待大厅（1间）</t>
  </si>
  <si>
    <t>天棚工程</t>
  </si>
  <si>
    <t>天棚基础预埋件、吊挂件</t>
  </si>
  <si>
    <t>㎡</t>
  </si>
  <si>
    <t>1、镀锌8#吊筋
2、30*30*3角钢/30*30*2矩管
3、焊缝打磨                                                                                                                                                                                                                4、防锈漆涂刷                                                                                                                                                                                                                5、低碳钢Q235                                                                                                                                                                                                                    6、投影面积计算工程量</t>
  </si>
  <si>
    <t>天棚蜂窝板吊顶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</si>
  <si>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2、规格：1.5CM铝蜂窝板
3、色号：待定或详见其它相关资料                                                                                                                                                                                                   4、辅料：铝合金龙骨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</si>
  <si>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天棚铝单板天花收边条</t>
  </si>
  <si>
    <t>m</t>
  </si>
  <si>
    <t>1、材质：铝材  （甲供）                                                                                                                                                                                                                2、规格：实际厚度1.5mm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</si>
  <si>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空调风栅（出风）</t>
  </si>
  <si>
    <t>1、材质：ABS                                                                                                                                                                                                                 2、规格：根据图纸深化
3、色号：待定或详见其它相关资料
4、表面处理：辊涂                                                                                                                                                                                                              5、含空调布袋的绑扎及材料；</t>
  </si>
  <si>
    <t>墙面工程</t>
  </si>
  <si>
    <t>墙面基础埋件制作</t>
  </si>
  <si>
    <t>m²</t>
  </si>
  <si>
    <t>1、25*25*2方钢
2、30*30*3角钢
3、焊缝打磨                                                                                                                                                                                                                                            4、防锈漆涂刷                                                                                                                                                                                                               5、低碳钢Q235                                                                                                                                                                                                             6、展开面积计算工程量</t>
  </si>
  <si>
    <t>墙面铝蜂窝板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</si>
  <si>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3、色号：待定或详见其它相关资料                                                                                                                                                                                                   4、辅料：铝合金龙骨（乙供）
5、含此项目上所有开孔及加固                                                                                                                                                                                                 6、扣除门窗洞孔</t>
  </si>
  <si>
    <t>铝蜂窝板包圆柱</t>
  </si>
  <si>
    <t>根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</si>
  <si>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2、规格：高度2.3M/2.5CM铝蜂窝板
3、做法：详施工图 
4、辅料：铝合金龙骨(乙供）
5、含此项目上所有开孔及加固                                                                                                                                                                                                 6、按照延长米计算工程量</t>
  </si>
  <si>
    <t>接待台背景造型</t>
  </si>
  <si>
    <t xml:space="preserve">1、钢龙骨或铝龙骨骨架                               
2、白色阻燃板基层
3、饰面冰纤维导光板（设计选样）
4、不锈钢收口线
5、做法：详施工图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</si>
  <si>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接待台</t>
  </si>
  <si>
    <t xml:space="preserve">1、铝龙骨骨架                               
2、阻燃板基层
3、石材台面
4、铝板转印饰面
5、铝蜂窝板柜门
6、五金配件 
7、做法详施工图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</si>
  <si>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木纹转印铝板滑门门套</t>
  </si>
  <si>
    <t>1、材质：转印铝板                                
2、规格：按照设计样式订制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5、含基层处理</t>
  </si>
  <si>
    <t>防火门安装</t>
  </si>
  <si>
    <t>樘</t>
  </si>
  <si>
    <t>1、材质：防火门                                 
2、规格：按图纸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</si>
  <si>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暗藏柜</t>
  </si>
  <si>
    <t xml:space="preserve">1、钢龙骨或铝龙骨骨架                               
2、阻燃板基层
3、铝蜂窝板柜门
4、配套五金
5、做法详施工图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</si>
  <si>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地面工程</t>
  </si>
  <si>
    <t>中厅地面石材</t>
  </si>
  <si>
    <t xml:space="preserve">1、材质：石材 设计选样（甲供）                                
2、规格：按深化排版图
4、表面处理：镜面结晶处理
5、含河沙水泥胶泥等辅助材料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</si>
  <si>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楼梯梯步及平台石材</t>
  </si>
  <si>
    <t>梯邦石材</t>
  </si>
  <si>
    <t xml:space="preserve">1、材质：人造石石材 设计选样（甲供）                                
2、规格：阻燃板基层
4、表面处理：抛光打磨
5、含云石胶AB胶等辅助材料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</si>
  <si>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小计</t>
  </si>
  <si>
    <t>值班室（1间）</t>
  </si>
  <si>
    <t>天棚铝扣板</t>
  </si>
  <si>
    <t>1、材质：铝材 （甲供）                                                                                                                                                                                                               2、规格：0.8铝扣板+橡塑板
3、色号：待定或详见其它相关资料                                                                                                                                                                                                   4、含配套龙骨 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</si>
  <si>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 （甲供）                                                                                                                                                                                                                2、规格：常规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</si>
  <si>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空调风栅（出风、回风）</t>
  </si>
  <si>
    <t>个</t>
  </si>
  <si>
    <t>墙面25mm钢质复合岩棉板</t>
  </si>
  <si>
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  
12、主材甲供</t>
  </si>
  <si>
    <t>1、材质：防火门 及五金锁具（甲供）                                
2、规格：按设计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</si>
  <si>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广播室（1间）</t>
  </si>
  <si>
    <t>公共卫生间（2间）</t>
  </si>
  <si>
    <t>铝蜂窝板吊顶</t>
  </si>
  <si>
    <t>1、材质：铝蜂窝板 （主材甲供）                                                                                                                                                                                                          2、规格：厚度15mm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（甲供 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</si>
  <si>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（主材甲供）                                                                                                                                                                                                                 2、规格：实际厚度1.0mm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</si>
  <si>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换气扇</t>
  </si>
  <si>
    <t>1、材质：静音换气扇                                                                                                                                                                                                             2、规格：根据图纸深化
3、色号：待定或详见其它相关资料
4、表面处理：辊涂                                                                                                                                                                                                              5、含空调布袋的绑扎及材料；</t>
  </si>
  <si>
    <t>墙面铝蜂窝复合板</t>
  </si>
  <si>
    <t xml:space="preserve">1、材质：铝蜂窝复合板 （主材甲供）                                                                                                                                                                                                          2、规格：厚度25mm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</t>
  </si>
  <si>
    <t>地面防水</t>
  </si>
  <si>
    <t xml:space="preserve">1、基层清理                               
2、丙纶防水涂料
3、落水管口加强处理
4、防水涂料保护层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</si>
  <si>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地面石材</t>
  </si>
  <si>
    <t xml:space="preserve">1、材质：石材地面 （甲供）                                
2、规格：300*300
3、色号：设计选样
4、表面处理：自然勾缝 
5、含河沙水泥胶泥等辅助材料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</si>
  <si>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地漏</t>
  </si>
  <si>
    <t>1、材质：304不锈钢密闭式防臭地漏
2、位置：按照设计位置
3、规格：管道口DN50</t>
  </si>
  <si>
    <t>安装工程</t>
  </si>
  <si>
    <t>洗手盆安装</t>
  </si>
  <si>
    <t>1、石材台盆（洗手盆水龙头甲供）
2、钢架制作，石材安装
2、水龙头安装及三角阀安装
3、下水软管安装</t>
  </si>
  <si>
    <t>卫浴镜</t>
  </si>
  <si>
    <t>张</t>
  </si>
  <si>
    <t xml:space="preserve">1、成品卫浴镜（主材甲供）
2、定位安装
</t>
  </si>
  <si>
    <t>马桶</t>
  </si>
  <si>
    <t xml:space="preserve">1、马桶（主材甲供）
2、定位安装
3、玻璃胶等辅料
</t>
  </si>
  <si>
    <t>卷纸盒等五金挂件</t>
  </si>
  <si>
    <t xml:space="preserve">1、卷纸盒浴巾架等五金挂件（主材甲供）
2、定位安装
3、玻璃胶等辅料
</t>
  </si>
  <si>
    <t>卫生间隔断</t>
  </si>
  <si>
    <t xml:space="preserve">1、按设计制作
2、配套五金件
3、玻璃胶等辅料
</t>
  </si>
  <si>
    <t>铝扣板吊顶</t>
  </si>
  <si>
    <t>1、材质：铝扣板+橡塑棉 （主材甲供）                                                                                                                                                                                                          2、规格：厚度0.8mm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</si>
  <si>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墙面不锈钢复合岩棉板</t>
  </si>
  <si>
    <r>
      <rPr>
        <sz val="8"/>
        <rFont val="方正楷体简体"/>
        <family val="3"/>
        <charset val="134"/>
      </rPr>
      <t>1、尺寸（mm）：550标准版宽、可见面模数板设计
2、厚度（mm）：25
3、隔音指数（dB）：33 
4、基材：双面0.6mm镀锌钢板
5、芯材：岩棉120kg/m³
6、面材：单面可见面 PVC贴膜
7、色卡：按设计选样
8、伸缩性L\W（%）≤150
9、尺寸稳定性（%）≤4                                                                                                                                                                                                     10、投影计算工程量、扣除门窗洞口面积                                                                                                                                                                                                                                    11、含此项目上所有开孔/加固
12</t>
    </r>
    <r>
      <rPr>
        <sz val="8"/>
        <rFont val="宋体"/>
        <family val="3"/>
        <charset val="134"/>
      </rPr>
      <t>、</t>
    </r>
    <r>
      <rPr>
        <sz val="8"/>
        <rFont val="方正楷体简体"/>
        <family val="3"/>
        <charset val="134"/>
      </rPr>
      <t>主材甲供</t>
    </r>
  </si>
  <si>
    <t>房间门安装（含电梯第二次门）</t>
  </si>
  <si>
    <t>1、材质：防火门  (甲供）                               
2、规格：按设计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</si>
  <si>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地砖</t>
  </si>
  <si>
    <t xml:space="preserve">1、材质：防滑地砖 （甲供）                                
2、规格：300*300
3、色号：设计选样
4、表面处理：自然勾缝 
5、含河沙水泥胶泥等辅助材料                                                                                                                                                                                                                                                </t>
  </si>
  <si>
    <t>六</t>
  </si>
  <si>
    <t>七</t>
  </si>
  <si>
    <t>自助餐厅（1间）</t>
  </si>
  <si>
    <t>窗帘盒</t>
  </si>
  <si>
    <t>1、材质：铝材 （甲供）                                                                                                                                                                                                               2、规格：定制,实际厚度2.0mm
3、色号：待定或详见其它相关资料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6、按延长米计算工程量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</si>
  <si>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3、色号：待定或详见其它相关资料                                                                                                                                                                                                   4、辅料：铝合金龙骨（乙供）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</si>
  <si>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3、做法：详施工图 
4、辅料：铝合金龙骨（乙供）
5、含此项目上所有开孔及加固                                                                                                                                                                                                 6、按照延长米计算工程量</t>
  </si>
  <si>
    <t>屏风背景造型</t>
  </si>
  <si>
    <t>自助餐台（双面岛台）</t>
  </si>
  <si>
    <t xml:space="preserve">1、铝龙骨骨架                               
2、阻燃板基层
3、石材台面
4、铝板转印饰面
5、铝蜂窝板柜门
6、五金配件 
 7、做法详施工图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</si>
  <si>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实木梯步</t>
  </si>
  <si>
    <t xml:space="preserve">1、材质：30实木梯步板                               
2、规格：订制按深化排版图
3、表面处理：烤漆饰面
                                                                                                                                                                                                                                             </t>
  </si>
  <si>
    <t>工程名称：重轮长江云帆游轮装饰工程标段I</t>
  </si>
  <si>
    <t>游步甲板中厅（1间）</t>
  </si>
  <si>
    <t>铝单板吊顶</t>
  </si>
  <si>
    <t>1、材质：铝材（主材甲供）                                                                                                                                                                                                               2、规格：实际厚度1.5mm
3、色号：待定或详见其它相关资料                                                                                                                                                                                                                   4、含轻钢龙骨及配件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</si>
  <si>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2、规格：1.5CM铝蜂窝板
3、色号：待定或详见其它相关资料                                                                                                                                                                                                   4、辅料：轻钢龙骨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</si>
  <si>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 xml:space="preserve">1、钢龙骨或铝龙骨骨架                               
2、铝蜂窝板柜体
3、铝蜂窝板柜门
4、配套五金
5、做法详施工图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</si>
  <si>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1、材质：铝蜂窝板 （主材甲供）                                                                                                                                                                                                          2、规格：厚度15mm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</si>
  <si>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 xml:space="preserve">1、材质：铝蜂窝复合板 （主材甲供）                                                                                                                                                                                                          2、规格：厚度25mm
3、色号：待定或详见其它相关资料                                                                                                                                                                                                                   4、含配套龙骨 （乙供）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</t>
  </si>
  <si>
    <t>房间门安装</t>
  </si>
  <si>
    <t>1、材质：防火门  (甲供）                               
2、规格：800*2100*45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</si>
  <si>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地面甲板敷料找平层</t>
  </si>
  <si>
    <t xml:space="preserve">1、材质：甲板敷料找平层                                 
2、规格：厚度约1CM.
                                                                                                                                                                                                                                                </t>
  </si>
  <si>
    <t>自助餐台</t>
  </si>
  <si>
    <t>八</t>
  </si>
  <si>
    <t>餐厅包房（2间）</t>
  </si>
  <si>
    <t>1、材质：防火门及五金锁具（主材甲供）                                 
2、规格：900*2200*45
3、色号：待定或详见其它相关资料
4、表面处理：设计选样                                                                                                                                                                                                                                                                                                                                                                                                                                                    5、含五金锁具安装</t>
  </si>
  <si>
    <t>观景甲板中厅（1间）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</si>
  <si>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2、规格：1.5CM铝蜂窝板
3、色号：待定或详见其它相关资料                                                                                                                                                                                                   4、含轻钢龙骨及配件 （甲供）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</si>
  <si>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 xml:space="preserve">1、钢龙骨或铝龙骨骨架                               
2、阻燃饰面板基层
3、级防火板木饰面柜门
4、配套五金
5、做法详施工图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</si>
  <si>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医务室（1间）</t>
  </si>
  <si>
    <t>公共卫生间（1间）</t>
  </si>
  <si>
    <t xml:space="preserve">1、材质：铝蜂窝复合板 （主材甲供）                                                                                                                                                                                                          2、规格：厚度25mm
3、色号：待定或详见其它相关资料                                                                                                                                                                                                                   4、铝合金龙骨（乙供）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</t>
  </si>
  <si>
    <t>备餐间二（洗碗间）1间</t>
  </si>
  <si>
    <t>VIP餐厅（1间）</t>
  </si>
  <si>
    <t>单曲面铝单板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</si>
  <si>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3、色号：待定或详见其它相关资料                                                                                                                                                                                                   4、铝合金龙骨（乙供）
5、含此项目上所有开孔及加固                                                                                                                                                                                                 6、按照投影面积计算工程量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</si>
  <si>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3、做法：详施工图 
4、铝合金龙骨（乙供）
5、含此项目上所有开孔及加固                                                                                                                                                                                                 6、按照延长米计算工程量</t>
  </si>
  <si>
    <t>卡座（靠背坐垫甲供）</t>
  </si>
  <si>
    <t xml:space="preserve">1、材质：钢架基础，阻燃板基层                                
2、规格：按照图纸
3、色号：待定或详见其它相关资料
4、表面处理：设计选样 （甲供）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</si>
  <si>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餐厅包房（4间）</t>
  </si>
  <si>
    <t>驾驶甲板中厅（1间）</t>
  </si>
  <si>
    <t>铝单板吊顶（弧面造型圆盒）</t>
  </si>
  <si>
    <t xml:space="preserve">1、材质：铝材（主材甲供）                                                                                                                                                                                                               2、规格：实际厚度1.5mm
3、色号：待定或详见其它相关资料                                                                                                                                                                                                                   4、含轻钢龙骨及配件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</t>
  </si>
  <si>
    <t xml:space="preserve"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3、做法：详施工图 
4、辅料：铝合金龙骨（乙供）
5、含此项目上所有开孔及加固                                                                                                                                                                                                 </t>
  </si>
  <si>
    <t>工程名称：重轮长江云帆游轮装饰工程标段III(公区）</t>
  </si>
  <si>
    <t>阳光甲板中厅（1间）</t>
  </si>
  <si>
    <t>1、材质：铝材 （主材甲供）                                                                                                                                                                                                               2、规格：2.5CM铝蜂窝板
3、做法：详施工图 
4、辅料：铝合金龙骨
5、含此项目上所有开孔及加固                                                                                                                                                                                                 6、按照延长米计算工程量</t>
  </si>
  <si>
    <t xml:space="preserve">1、材质：铝蜂窝复合板 （主材甲供）                                                                                                                                                                                                          2、规格：厚度25mm
3、色号：待定或详见其它相关资料                                                                                                                                                                                                                   4、铝合金龙骨 （乙供）                                                                                                                                                                                                                                                                                                                                                                                                                      5、含此项目上所有开孔及加固                                                                                                                                                                                                 </t>
  </si>
  <si>
    <t>储藏室</t>
  </si>
  <si>
    <t>房间门安装（含电梯二次门）</t>
  </si>
  <si>
    <t>更衣室/音控室（2间）</t>
  </si>
  <si>
    <t>墙面钢质复合岩棉板</t>
  </si>
  <si>
    <t>多功能厅（1间）</t>
  </si>
  <si>
    <t>铝单板包梁天窗造型</t>
  </si>
  <si>
    <t>深咖色镜面铝单板</t>
  </si>
  <si>
    <t>吧台</t>
  </si>
  <si>
    <t>吧头</t>
  </si>
  <si>
    <t xml:space="preserve">1、不锈钢金属骨架                               
2、冰纤维导光板
3、做法详施工图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</si>
  <si>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工程名称：华夏5号豪华游轮整改装饰工程（船员及配套区域）</t>
  </si>
  <si>
    <t>主材</t>
  </si>
  <si>
    <t xml:space="preserve">工作内容 </t>
  </si>
  <si>
    <t>损耗</t>
  </si>
  <si>
    <t>冰冻室</t>
  </si>
  <si>
    <t>维修类</t>
  </si>
  <si>
    <t>拆除工程</t>
  </si>
  <si>
    <t>地面地胶拆除</t>
  </si>
  <si>
    <t>人工拆除，出渣到渣场</t>
  </si>
  <si>
    <t>天棚吊顶拆除</t>
  </si>
  <si>
    <t xml:space="preserve">1、生产设计          2、材料供应               3、安装                                       </t>
  </si>
  <si>
    <t>1、材质：铝材                                                                                                                                                                                                                2、规格：600*600mm、长度定尺,实际厚度0.8mm
3、色号：待定或详见其它相关资料
4、表面处理：辊涂                                                                                                                                                                                                                     5、含配套卡式龙骨                                                                                                                                                                                                                                      6、含此项目上所有开孔及加固                                                                                                                                                                                                       7、投影面积计算工程量</t>
  </si>
  <si>
    <t>天棚铝扣板天花收边条</t>
  </si>
  <si>
    <t>1、材质：铝材                                                                                                                                                                                                                  2、规格：实际厚度2.0mm
3、色号：待定或详见其它相关资料
4、表面处理：辊涂                                                                                                                                                                                                         5、周长计算工程量</t>
  </si>
  <si>
    <t>建筑模板找平</t>
  </si>
  <si>
    <t>1、材质：建筑模板                                       2、规格：实际厚度15mm</t>
  </si>
  <si>
    <t>双层</t>
  </si>
  <si>
    <t>地胶</t>
  </si>
  <si>
    <t>1、尺寸（mm）：卷材
2、厚度（mm）：2.0mm
3、耐磨层厚度（mm）：0.7mm
4、提供CCS认可证书
5、投影面积计算工程量</t>
  </si>
  <si>
    <t>装 饰 工 程 造 价 报 价 单</t>
    <phoneticPr fontId="23" type="noConversion"/>
  </si>
  <si>
    <t>工 程 名 称：150米三峡游轮装饰工程劳务（标段Ⅲ）</t>
    <phoneticPr fontId="23" type="noConversion"/>
  </si>
  <si>
    <t>投标单位：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</si>
</sst>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4">
    <font>
      <sz val="12"/>
      <color theme="1"/>
      <name val="等线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等线"/>
      <family val="3"/>
      <charset val="134"/>
    </font>
    <font>
      <sz val="11"/>
      <name val="SimSun"/>
      <charset val="134"/>
    </font>
    <font>
      <sz val="11"/>
      <name val="等线"/>
      <family val="3"/>
      <charset val="134"/>
      <scheme val="minor"/>
    </font>
    <font>
      <sz val="10"/>
      <name val="方正楷体简体"/>
      <family val="3"/>
      <charset val="134"/>
    </font>
    <font>
      <b/>
      <sz val="8"/>
      <name val="方正楷体简体"/>
      <family val="3"/>
      <charset val="134"/>
    </font>
    <font>
      <sz val="8"/>
      <name val="方正楷体简体"/>
      <family val="3"/>
      <charset val="134"/>
    </font>
    <font>
      <sz val="12"/>
      <name val="方正楷体简体"/>
      <family val="3"/>
      <charset val="134"/>
    </font>
    <font>
      <b/>
      <sz val="12"/>
      <name val="方正楷体简体"/>
      <family val="3"/>
      <charset val="134"/>
    </font>
    <font>
      <b/>
      <sz val="16"/>
      <name val="方正楷体简体"/>
      <family val="3"/>
      <charset val="134"/>
    </font>
    <font>
      <sz val="12"/>
      <color theme="8"/>
      <name val="等线"/>
      <family val="3"/>
      <charset val="134"/>
      <scheme val="minor"/>
    </font>
    <font>
      <b/>
      <sz val="28"/>
      <name val="宋体"/>
      <family val="3"/>
      <charset val="134"/>
    </font>
    <font>
      <b/>
      <sz val="12"/>
      <name val="宋体"/>
      <family val="3"/>
      <charset val="134"/>
    </font>
    <font>
      <sz val="10"/>
      <name val="Geneva"/>
      <family val="1"/>
    </font>
    <font>
      <sz val="8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1" fillId="0" borderId="0"/>
    <xf numFmtId="0" fontId="8" fillId="0" borderId="0">
      <alignment vertical="center"/>
    </xf>
    <xf numFmtId="0" fontId="8" fillId="0" borderId="0"/>
    <xf numFmtId="0" fontId="5" fillId="0" borderId="0"/>
    <xf numFmtId="0" fontId="8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1" applyFont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7" fillId="0" borderId="1" xfId="4" applyNumberFormat="1" applyFont="1" applyBorder="1" applyAlignment="1" applyProtection="1">
      <alignment horizontal="center" vertical="center" wrapText="1"/>
      <protection locked="0"/>
    </xf>
    <xf numFmtId="9" fontId="7" fillId="0" borderId="1" xfId="4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6" fillId="0" borderId="0" xfId="0" applyFont="1" applyAlignment="1"/>
    <xf numFmtId="0" fontId="15" fillId="3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5" fillId="0" borderId="1" xfId="1" applyFont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4" applyFont="1" applyBorder="1" applyAlignment="1" applyProtection="1">
      <alignment horizontal="left" vertical="center" wrapText="1"/>
      <protection locked="0"/>
    </xf>
    <xf numFmtId="0" fontId="15" fillId="0" borderId="1" xfId="4" applyFont="1" applyBorder="1" applyAlignment="1" applyProtection="1">
      <alignment horizontal="left" vertical="center" wrapText="1"/>
      <protection locked="0"/>
    </xf>
    <xf numFmtId="176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4" borderId="5" xfId="4" applyFont="1" applyFill="1" applyBorder="1" applyAlignment="1" applyProtection="1">
      <alignment horizontal="left" vertical="center" wrapText="1"/>
      <protection locked="0"/>
    </xf>
    <xf numFmtId="0" fontId="15" fillId="4" borderId="6" xfId="4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3" fillId="0" borderId="1" xfId="5" applyFont="1" applyBorder="1" applyAlignment="1" applyProtection="1">
      <alignment horizontal="center" vertical="center" wrapText="1"/>
      <protection locked="0"/>
    </xf>
    <xf numFmtId="0" fontId="13" fillId="0" borderId="1" xfId="5" applyFont="1" applyBorder="1" applyAlignment="1" applyProtection="1">
      <alignment horizontal="left" vertical="center" wrapText="1"/>
      <protection locked="0"/>
    </xf>
    <xf numFmtId="176" fontId="13" fillId="0" borderId="1" xfId="5" applyNumberFormat="1" applyFont="1" applyBorder="1" applyAlignment="1" applyProtection="1">
      <alignment horizontal="center" vertical="center" wrapText="1"/>
      <protection locked="0"/>
    </xf>
    <xf numFmtId="0" fontId="13" fillId="0" borderId="1" xfId="4" applyFont="1" applyBorder="1" applyAlignment="1" applyProtection="1">
      <alignment horizontal="left" vertical="center" wrapText="1"/>
      <protection locked="0"/>
    </xf>
    <xf numFmtId="176" fontId="13" fillId="0" borderId="1" xfId="4" applyNumberFormat="1" applyFont="1" applyBorder="1" applyAlignment="1" applyProtection="1">
      <alignment horizontal="left" vertical="center" wrapText="1"/>
      <protection locked="0"/>
    </xf>
    <xf numFmtId="176" fontId="13" fillId="0" borderId="1" xfId="4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" xfId="4" applyFont="1" applyBorder="1" applyAlignment="1" applyProtection="1">
      <alignment horizontal="center" vertical="center" wrapText="1"/>
      <protection locked="0"/>
    </xf>
    <xf numFmtId="0" fontId="14" fillId="0" borderId="1" xfId="4" applyFont="1" applyBorder="1" applyAlignment="1" applyProtection="1">
      <alignment horizontal="center" vertical="center" wrapText="1"/>
      <protection locked="0"/>
    </xf>
    <xf numFmtId="176" fontId="14" fillId="0" borderId="1" xfId="4" applyNumberFormat="1" applyFont="1" applyBorder="1" applyAlignment="1" applyProtection="1">
      <alignment horizontal="center" vertical="center" wrapText="1"/>
      <protection locked="0"/>
    </xf>
    <xf numFmtId="176" fontId="13" fillId="0" borderId="2" xfId="4" applyNumberFormat="1" applyFont="1" applyBorder="1" applyAlignment="1" applyProtection="1">
      <alignment horizontal="center" vertical="center" wrapText="1"/>
      <protection locked="0"/>
    </xf>
    <xf numFmtId="176" fontId="13" fillId="0" borderId="3" xfId="4" applyNumberFormat="1" applyFont="1" applyBorder="1" applyAlignment="1" applyProtection="1">
      <alignment horizontal="center" vertical="center" wrapText="1"/>
      <protection locked="0"/>
    </xf>
    <xf numFmtId="176" fontId="13" fillId="0" borderId="1" xfId="1" applyNumberFormat="1" applyFont="1" applyBorder="1" applyAlignment="1" applyProtection="1">
      <alignment horizontal="center" vertical="center" wrapText="1"/>
      <protection locked="0"/>
    </xf>
    <xf numFmtId="176" fontId="14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176" fontId="6" fillId="0" borderId="1" xfId="5" applyNumberFormat="1" applyFont="1" applyBorder="1" applyAlignment="1" applyProtection="1">
      <alignment horizontal="center" vertical="center" wrapText="1"/>
      <protection locked="0"/>
    </xf>
    <xf numFmtId="9" fontId="6" fillId="0" borderId="1" xfId="5" applyNumberFormat="1" applyFont="1" applyBorder="1" applyAlignment="1" applyProtection="1">
      <alignment horizontal="center" vertical="center" wrapText="1"/>
      <protection locked="0"/>
    </xf>
    <xf numFmtId="0" fontId="5" fillId="0" borderId="1" xfId="4" applyBorder="1" applyAlignment="1" applyProtection="1">
      <alignment horizontal="left" vertical="center" wrapText="1"/>
      <protection locked="0"/>
    </xf>
    <xf numFmtId="0" fontId="5" fillId="0" borderId="1" xfId="4" applyBorder="1" applyAlignment="1" applyProtection="1">
      <alignment horizontal="center" vertical="center" wrapText="1"/>
      <protection locked="0"/>
    </xf>
    <xf numFmtId="0" fontId="7" fillId="0" borderId="1" xfId="4" applyFont="1" applyBorder="1" applyAlignment="1" applyProtection="1">
      <alignment horizontal="center" vertical="center" wrapText="1"/>
      <protection locked="0"/>
    </xf>
    <xf numFmtId="176" fontId="7" fillId="0" borderId="1" xfId="4" applyNumberFormat="1" applyFont="1" applyBorder="1" applyAlignment="1" applyProtection="1">
      <alignment horizontal="center" vertical="center" wrapText="1"/>
      <protection locked="0"/>
    </xf>
    <xf numFmtId="9" fontId="7" fillId="0" borderId="1" xfId="4" applyNumberFormat="1" applyFont="1" applyBorder="1" applyAlignment="1" applyProtection="1">
      <alignment horizontal="center" vertical="center" wrapText="1"/>
      <protection locked="0"/>
    </xf>
    <xf numFmtId="0" fontId="7" fillId="0" borderId="1" xfId="4" applyFont="1" applyBorder="1" applyAlignment="1" applyProtection="1">
      <alignment horizontal="left" vertical="center" wrapText="1"/>
      <protection locked="0"/>
    </xf>
    <xf numFmtId="176" fontId="5" fillId="0" borderId="1" xfId="4" applyNumberFormat="1" applyBorder="1" applyAlignment="1" applyProtection="1">
      <alignment horizontal="center" vertical="center" wrapText="1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</cellXfs>
  <cellStyles count="6">
    <cellStyle name="_ET_STYLE_NoName_00_" xfId="1" xr:uid="{00000000-0005-0000-0000-000031000000}"/>
    <cellStyle name="常规" xfId="0" builtinId="0"/>
    <cellStyle name="常规 19" xfId="3" xr:uid="{00000000-0005-0000-0000-000033000000}"/>
    <cellStyle name="常规_结(新）" xfId="4" xr:uid="{00000000-0005-0000-0000-000034000000}"/>
    <cellStyle name="常规_金中环BCE型房、办公室2" xfId="5" xr:uid="{00000000-0005-0000-0000-000035000000}"/>
    <cellStyle name="常规_上海静安广场安装改造" xfId="2" xr:uid="{00000000-0005-0000-0000-000032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/>
  </sheetViews>
  <sheetFormatPr defaultColWidth="9" defaultRowHeight="14.25" customHeight="1"/>
  <sheetData/>
  <sheetProtection formatCells="0" formatColumns="0" formatRows="0" insertColumns="0" insertRows="0" insertHyperlinks="0" deleteColumns="0" deleteRows="0" sort="0" autoFilter="0" pivotTables="0"/>
  <phoneticPr fontId="2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M30" sqref="M30"/>
    </sheetView>
  </sheetViews>
  <sheetFormatPr defaultColWidth="9" defaultRowHeight="15.75"/>
  <sheetData/>
  <sheetProtection formatCells="0" formatColumns="0" formatRows="0" insertColumns="0" insertRows="0" insertHyperlinks="0" deleteColumns="0" deleteRows="0" sort="0" autoFilter="0" pivotTables="0"/>
  <phoneticPr fontId="2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D13" sqref="D13"/>
    </sheetView>
  </sheetViews>
  <sheetFormatPr defaultColWidth="8.75" defaultRowHeight="15.75"/>
  <cols>
    <col min="2" max="2" width="14.125" customWidth="1"/>
    <col min="3" max="3" width="22.5" customWidth="1"/>
    <col min="8" max="8" width="14.125" customWidth="1"/>
  </cols>
  <sheetData>
    <row r="1" spans="1:10" ht="111" customHeight="1">
      <c r="A1" s="92" t="s">
        <v>239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24.95" customHeight="1">
      <c r="A2" s="83"/>
      <c r="B2" s="83" t="s">
        <v>240</v>
      </c>
      <c r="C2" s="83"/>
      <c r="D2" s="83"/>
      <c r="E2" s="83"/>
      <c r="F2" s="83"/>
      <c r="G2" s="22"/>
    </row>
    <row r="3" spans="1:10" ht="24.95" customHeight="1">
      <c r="A3" s="83"/>
      <c r="B3" s="90"/>
      <c r="C3" s="91"/>
      <c r="D3" s="90"/>
      <c r="E3" s="90"/>
      <c r="F3" s="90"/>
      <c r="G3" s="22"/>
    </row>
    <row r="4" spans="1:10" ht="24.95" customHeight="1">
      <c r="A4" s="83"/>
      <c r="B4" s="90"/>
      <c r="C4" s="91"/>
      <c r="D4" s="90"/>
      <c r="E4" s="90"/>
      <c r="F4" s="90"/>
      <c r="G4" s="22"/>
    </row>
    <row r="5" spans="1:10" ht="24.95" customHeight="1">
      <c r="A5" s="83"/>
      <c r="B5" s="90" t="s">
        <v>0</v>
      </c>
      <c r="C5" s="91"/>
      <c r="D5" s="90"/>
      <c r="E5" s="90"/>
      <c r="F5" s="90"/>
      <c r="G5" s="22"/>
    </row>
    <row r="6" spans="1:10" ht="24.95" customHeight="1">
      <c r="A6" s="83"/>
      <c r="B6" s="88"/>
      <c r="C6" s="88"/>
      <c r="D6" s="88"/>
      <c r="E6" s="88"/>
      <c r="F6" s="88"/>
      <c r="G6" s="88"/>
      <c r="H6" s="88"/>
      <c r="I6" s="88"/>
    </row>
    <row r="7" spans="1:10" ht="24.95" customHeight="1">
      <c r="A7" s="83"/>
      <c r="B7" s="90" t="s">
        <v>1</v>
      </c>
      <c r="C7" s="91"/>
      <c r="D7" s="90"/>
      <c r="E7" s="90"/>
      <c r="F7" s="90"/>
      <c r="G7" s="22"/>
    </row>
    <row r="8" spans="1:10" ht="24.95" customHeight="1">
      <c r="A8" s="83"/>
      <c r="B8" s="88"/>
      <c r="C8" s="88"/>
      <c r="D8" s="88"/>
      <c r="E8" s="88"/>
      <c r="F8" s="88"/>
      <c r="G8" s="88"/>
      <c r="H8" s="88"/>
      <c r="I8" s="88"/>
    </row>
    <row r="9" spans="1:10" ht="24.95" customHeight="1">
      <c r="A9" s="83"/>
      <c r="B9" s="83" t="s">
        <v>2</v>
      </c>
      <c r="C9" s="88" t="s">
        <v>3</v>
      </c>
      <c r="D9" s="88"/>
      <c r="E9" s="88"/>
      <c r="F9" s="88"/>
      <c r="G9" s="22"/>
    </row>
    <row r="10" spans="1:10" ht="24.95" customHeight="1">
      <c r="A10" s="83"/>
      <c r="B10" s="83"/>
      <c r="C10" s="86"/>
      <c r="D10" s="84"/>
      <c r="E10" s="83"/>
      <c r="F10" s="83"/>
      <c r="G10" s="22"/>
    </row>
    <row r="11" spans="1:10" ht="24.95" customHeight="1">
      <c r="A11" s="22"/>
      <c r="B11" s="22"/>
      <c r="C11" s="87"/>
      <c r="D11" s="22"/>
      <c r="E11" s="22"/>
      <c r="F11" s="22"/>
      <c r="G11" s="22"/>
    </row>
    <row r="12" spans="1:10" ht="24.95" customHeight="1">
      <c r="A12" s="22"/>
      <c r="B12" s="22"/>
      <c r="C12" s="84"/>
      <c r="D12" s="88" t="s">
        <v>241</v>
      </c>
      <c r="E12" s="88"/>
      <c r="F12" s="88"/>
      <c r="G12" s="88"/>
      <c r="H12" s="89"/>
      <c r="I12" s="89"/>
    </row>
    <row r="13" spans="1:10" ht="24.95" customHeight="1">
      <c r="A13" s="22"/>
      <c r="B13" s="22"/>
      <c r="C13" s="84"/>
      <c r="D13" s="85"/>
      <c r="E13" s="85"/>
      <c r="F13" s="85"/>
      <c r="G13" s="85"/>
    </row>
    <row r="14" spans="1:10" ht="24.95" customHeight="1">
      <c r="A14" s="22"/>
      <c r="B14" s="22"/>
      <c r="C14" s="84"/>
      <c r="D14" s="88" t="s">
        <v>4</v>
      </c>
      <c r="E14" s="88"/>
      <c r="F14" s="88"/>
      <c r="G14" s="88"/>
      <c r="H14" s="89"/>
      <c r="I14" s="89"/>
    </row>
    <row r="15" spans="1:10" ht="25.9" customHeight="1">
      <c r="A15" s="22"/>
      <c r="B15" s="22"/>
      <c r="C15" s="87"/>
      <c r="D15" s="22"/>
      <c r="E15" s="22"/>
      <c r="F15" s="22"/>
      <c r="G15" s="22"/>
    </row>
    <row r="16" spans="1:10" ht="25.9" customHeight="1">
      <c r="A16" s="22"/>
      <c r="B16" s="22"/>
      <c r="C16" s="87"/>
      <c r="D16" s="22"/>
      <c r="E16" s="22"/>
      <c r="F16" s="22"/>
      <c r="G16" s="22"/>
    </row>
    <row r="17" spans="1:7" ht="25.9" customHeight="1">
      <c r="A17" s="22"/>
      <c r="B17" s="22"/>
      <c r="C17" s="87"/>
      <c r="D17" s="22"/>
      <c r="E17" s="22"/>
      <c r="F17" s="22"/>
      <c r="G17" s="22"/>
    </row>
    <row r="18" spans="1:7">
      <c r="A18" s="22"/>
      <c r="B18" s="22"/>
      <c r="C18" s="87"/>
      <c r="D18" s="22"/>
      <c r="E18" s="22"/>
      <c r="F18" s="22"/>
      <c r="G18" s="22"/>
    </row>
    <row r="19" spans="1:7">
      <c r="A19" s="22"/>
      <c r="B19" s="22"/>
      <c r="C19" s="87"/>
      <c r="D19" s="22"/>
      <c r="E19" s="22"/>
      <c r="F19" s="22"/>
      <c r="G19" s="22"/>
    </row>
    <row r="20" spans="1:7">
      <c r="A20" s="22"/>
      <c r="B20" s="22"/>
      <c r="C20" s="87"/>
      <c r="D20" s="22"/>
      <c r="E20" s="22"/>
      <c r="F20" s="22"/>
      <c r="G20" s="22"/>
    </row>
    <row r="21" spans="1:7">
      <c r="A21" s="22"/>
      <c r="B21" s="22"/>
      <c r="C21" s="87"/>
      <c r="D21" s="22"/>
      <c r="E21" s="22"/>
      <c r="F21" s="22"/>
      <c r="G21" s="22"/>
    </row>
  </sheetData>
  <mergeCells count="12">
    <mergeCell ref="A1:J1"/>
    <mergeCell ref="B3:F3"/>
    <mergeCell ref="B4:F4"/>
    <mergeCell ref="B5:F5"/>
    <mergeCell ref="D14:G14"/>
    <mergeCell ref="H14:I14"/>
    <mergeCell ref="B6:I6"/>
    <mergeCell ref="B7:F7"/>
    <mergeCell ref="B8:I8"/>
    <mergeCell ref="C9:F9"/>
    <mergeCell ref="D12:G12"/>
    <mergeCell ref="H12:I12"/>
  </mergeCells>
  <phoneticPr fontId="23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G52"/>
  <sheetViews>
    <sheetView view="pageBreakPreview" zoomScaleNormal="100" workbookViewId="0">
      <pane ySplit="2" topLeftCell="A3" activePane="bottomLeft" state="frozen"/>
      <selection pane="bottomLeft" activeCell="E41" sqref="E41"/>
    </sheetView>
  </sheetViews>
  <sheetFormatPr defaultColWidth="8.375" defaultRowHeight="15.75" outlineLevelRow="1"/>
  <cols>
    <col min="1" max="1" width="5.875" style="57" customWidth="1"/>
    <col min="2" max="2" width="28.25" style="57" customWidth="1"/>
    <col min="3" max="3" width="7.125" style="57" customWidth="1"/>
    <col min="4" max="4" width="17.5" style="57" customWidth="1"/>
    <col min="5" max="5" width="16.25" style="58" customWidth="1"/>
    <col min="6" max="6" width="23.375" style="57" customWidth="1"/>
    <col min="7" max="7" width="59" style="57" customWidth="1"/>
    <col min="8" max="16384" width="8.375" style="57"/>
  </cols>
  <sheetData>
    <row r="1" spans="1:7" s="52" customFormat="1" ht="20.25">
      <c r="A1" s="97" t="s">
        <v>5</v>
      </c>
      <c r="B1" s="97"/>
      <c r="C1" s="97"/>
      <c r="D1" s="97"/>
      <c r="E1" s="98"/>
      <c r="F1" s="97"/>
    </row>
    <row r="2" spans="1:7" s="52" customFormat="1" ht="31.5">
      <c r="A2" s="59" t="s">
        <v>6</v>
      </c>
      <c r="B2" s="59" t="s">
        <v>7</v>
      </c>
      <c r="C2" s="59" t="s">
        <v>8</v>
      </c>
      <c r="D2" s="60" t="s">
        <v>9</v>
      </c>
      <c r="E2" s="61" t="s">
        <v>10</v>
      </c>
      <c r="F2" s="61" t="s">
        <v>11</v>
      </c>
    </row>
    <row r="3" spans="1:7" s="53" customFormat="1">
      <c r="A3" s="62" t="s">
        <v>12</v>
      </c>
      <c r="B3" s="63" t="s">
        <v>13</v>
      </c>
      <c r="C3" s="64"/>
      <c r="D3" s="65"/>
      <c r="E3" s="66"/>
      <c r="F3" s="62"/>
    </row>
    <row r="4" spans="1:7" s="52" customFormat="1">
      <c r="A4" s="62" t="s">
        <v>14</v>
      </c>
      <c r="B4" s="63" t="s">
        <v>15</v>
      </c>
      <c r="C4" s="67"/>
      <c r="D4" s="68"/>
      <c r="E4" s="61"/>
      <c r="F4" s="69"/>
    </row>
    <row r="5" spans="1:7" s="52" customFormat="1" outlineLevel="1">
      <c r="A5" s="69">
        <v>1</v>
      </c>
      <c r="B5" s="70" t="s">
        <v>16</v>
      </c>
      <c r="C5" s="67" t="s">
        <v>17</v>
      </c>
      <c r="D5" s="68">
        <v>1</v>
      </c>
      <c r="E5" s="61">
        <f>上甲板工程量!I24</f>
        <v>0</v>
      </c>
      <c r="F5" s="69"/>
      <c r="G5" s="57"/>
    </row>
    <row r="6" spans="1:7" s="52" customFormat="1" outlineLevel="1">
      <c r="A6" s="69">
        <v>2</v>
      </c>
      <c r="B6" s="70" t="s">
        <v>18</v>
      </c>
      <c r="C6" s="67" t="s">
        <v>17</v>
      </c>
      <c r="D6" s="68">
        <v>1</v>
      </c>
      <c r="E6" s="61">
        <f>上甲板工程量!I35</f>
        <v>0</v>
      </c>
      <c r="F6" s="69"/>
      <c r="G6" s="57"/>
    </row>
    <row r="7" spans="1:7" s="52" customFormat="1" outlineLevel="1">
      <c r="A7" s="69">
        <v>3</v>
      </c>
      <c r="B7" s="70" t="s">
        <v>19</v>
      </c>
      <c r="C7" s="67" t="s">
        <v>17</v>
      </c>
      <c r="D7" s="68">
        <v>1</v>
      </c>
      <c r="E7" s="61">
        <f>上甲板工程量!I46</f>
        <v>0</v>
      </c>
      <c r="F7" s="69"/>
      <c r="G7" s="57"/>
    </row>
    <row r="8" spans="1:7" s="52" customFormat="1" outlineLevel="1">
      <c r="A8" s="69">
        <v>4</v>
      </c>
      <c r="B8" s="70" t="s">
        <v>20</v>
      </c>
      <c r="C8" s="67" t="s">
        <v>17</v>
      </c>
      <c r="D8" s="68">
        <v>2</v>
      </c>
      <c r="E8" s="61">
        <f>上甲板工程量!I67</f>
        <v>0</v>
      </c>
      <c r="F8" s="71"/>
      <c r="G8" s="57"/>
    </row>
    <row r="9" spans="1:7" s="52" customFormat="1" outlineLevel="1">
      <c r="A9" s="69">
        <v>5</v>
      </c>
      <c r="B9" s="70" t="s">
        <v>21</v>
      </c>
      <c r="C9" s="67" t="s">
        <v>17</v>
      </c>
      <c r="D9" s="68">
        <v>1</v>
      </c>
      <c r="E9" s="61">
        <f>上甲板工程量!I80</f>
        <v>0</v>
      </c>
      <c r="F9" s="72"/>
      <c r="G9" s="57"/>
    </row>
    <row r="10" spans="1:7" s="52" customFormat="1" outlineLevel="1">
      <c r="A10" s="69">
        <v>6</v>
      </c>
      <c r="B10" s="70" t="s">
        <v>22</v>
      </c>
      <c r="C10" s="67" t="s">
        <v>17</v>
      </c>
      <c r="D10" s="68">
        <v>1</v>
      </c>
      <c r="E10" s="61">
        <f>上甲板工程量!I93</f>
        <v>0</v>
      </c>
      <c r="F10" s="72"/>
      <c r="G10" s="57"/>
    </row>
    <row r="11" spans="1:7" s="52" customFormat="1" outlineLevel="1">
      <c r="A11" s="69">
        <v>7</v>
      </c>
      <c r="B11" s="70" t="s">
        <v>23</v>
      </c>
      <c r="C11" s="67" t="s">
        <v>17</v>
      </c>
      <c r="D11" s="68">
        <v>1</v>
      </c>
      <c r="E11" s="61">
        <f>上甲板工程量!I110</f>
        <v>0</v>
      </c>
      <c r="F11" s="72"/>
      <c r="G11" s="57"/>
    </row>
    <row r="12" spans="1:7" s="54" customFormat="1">
      <c r="A12" s="93" t="s">
        <v>24</v>
      </c>
      <c r="B12" s="94"/>
      <c r="C12" s="94"/>
      <c r="D12" s="94"/>
      <c r="E12" s="73">
        <f>SUM(E5:E9)</f>
        <v>0</v>
      </c>
      <c r="F12" s="74"/>
    </row>
    <row r="13" spans="1:7">
      <c r="A13" s="62" t="s">
        <v>25</v>
      </c>
      <c r="B13" s="75" t="s">
        <v>26</v>
      </c>
      <c r="C13" s="67"/>
      <c r="D13" s="68"/>
      <c r="E13" s="61"/>
      <c r="F13" s="69"/>
    </row>
    <row r="14" spans="1:7" outlineLevel="1">
      <c r="A14" s="69">
        <v>1</v>
      </c>
      <c r="B14" s="70" t="s">
        <v>27</v>
      </c>
      <c r="C14" s="67" t="s">
        <v>17</v>
      </c>
      <c r="D14" s="68">
        <v>1</v>
      </c>
      <c r="E14" s="61">
        <f>游步甲板工程量!I22</f>
        <v>0</v>
      </c>
      <c r="F14" s="69"/>
    </row>
    <row r="15" spans="1:7" outlineLevel="1">
      <c r="A15" s="69">
        <v>2</v>
      </c>
      <c r="B15" s="76" t="s">
        <v>20</v>
      </c>
      <c r="C15" s="67" t="s">
        <v>17</v>
      </c>
      <c r="D15" s="68">
        <v>2</v>
      </c>
      <c r="E15" s="61">
        <f>游步甲板工程量!I42</f>
        <v>0</v>
      </c>
      <c r="F15" s="69"/>
    </row>
    <row r="16" spans="1:7" s="52" customFormat="1" outlineLevel="1">
      <c r="A16" s="69">
        <v>3</v>
      </c>
      <c r="B16" s="70" t="s">
        <v>21</v>
      </c>
      <c r="C16" s="67" t="s">
        <v>17</v>
      </c>
      <c r="D16" s="68">
        <v>1</v>
      </c>
      <c r="E16" s="61">
        <f>游步甲板工程量!I57</f>
        <v>0</v>
      </c>
      <c r="F16" s="72"/>
      <c r="G16" s="57"/>
    </row>
    <row r="17" spans="1:7" s="52" customFormat="1" outlineLevel="1">
      <c r="A17" s="69">
        <v>4</v>
      </c>
      <c r="B17" s="70" t="s">
        <v>22</v>
      </c>
      <c r="C17" s="67" t="s">
        <v>17</v>
      </c>
      <c r="D17" s="68">
        <v>1</v>
      </c>
      <c r="E17" s="61">
        <f>游步甲板工程量!I70</f>
        <v>0</v>
      </c>
      <c r="F17" s="72"/>
      <c r="G17" s="57"/>
    </row>
    <row r="18" spans="1:7" s="52" customFormat="1" outlineLevel="1">
      <c r="A18" s="69">
        <v>5</v>
      </c>
      <c r="B18" s="70" t="s">
        <v>23</v>
      </c>
      <c r="C18" s="67" t="s">
        <v>17</v>
      </c>
      <c r="D18" s="68">
        <v>1</v>
      </c>
      <c r="E18" s="61">
        <f>游步甲板工程量!I86</f>
        <v>0</v>
      </c>
      <c r="F18" s="72"/>
      <c r="G18" s="57"/>
    </row>
    <row r="19" spans="1:7" outlineLevel="1">
      <c r="A19" s="69">
        <v>6</v>
      </c>
      <c r="B19" s="76" t="s">
        <v>28</v>
      </c>
      <c r="C19" s="67" t="s">
        <v>17</v>
      </c>
      <c r="D19" s="68">
        <v>2</v>
      </c>
      <c r="E19" s="61">
        <f>游步甲板工程量!I97</f>
        <v>0</v>
      </c>
      <c r="F19" s="69"/>
    </row>
    <row r="20" spans="1:7" s="54" customFormat="1">
      <c r="A20" s="93" t="s">
        <v>29</v>
      </c>
      <c r="B20" s="94"/>
      <c r="C20" s="94"/>
      <c r="D20" s="94"/>
      <c r="E20" s="73">
        <f>SUM(E14:E19)</f>
        <v>0</v>
      </c>
      <c r="F20" s="74"/>
    </row>
    <row r="21" spans="1:7" s="54" customFormat="1">
      <c r="A21" s="62" t="s">
        <v>30</v>
      </c>
      <c r="B21" s="75" t="s">
        <v>31</v>
      </c>
      <c r="C21" s="67"/>
      <c r="D21" s="68"/>
      <c r="E21" s="61"/>
      <c r="F21" s="69"/>
      <c r="G21" s="57"/>
    </row>
    <row r="22" spans="1:7" s="54" customFormat="1" outlineLevel="1">
      <c r="A22" s="69">
        <v>1</v>
      </c>
      <c r="B22" s="70" t="s">
        <v>32</v>
      </c>
      <c r="C22" s="67" t="s">
        <v>17</v>
      </c>
      <c r="D22" s="68">
        <v>1</v>
      </c>
      <c r="E22" s="61">
        <f>观景甲板工程量!I22</f>
        <v>0</v>
      </c>
      <c r="F22" s="69"/>
      <c r="G22" s="57"/>
    </row>
    <row r="23" spans="1:7" s="54" customFormat="1" outlineLevel="1">
      <c r="A23" s="69">
        <v>2</v>
      </c>
      <c r="B23" s="76" t="s">
        <v>33</v>
      </c>
      <c r="C23" s="67" t="s">
        <v>17</v>
      </c>
      <c r="D23" s="68">
        <v>1</v>
      </c>
      <c r="E23" s="61">
        <f>观景甲板工程量!I33</f>
        <v>0</v>
      </c>
      <c r="F23" s="69"/>
      <c r="G23" s="57"/>
    </row>
    <row r="24" spans="1:7" s="54" customFormat="1" outlineLevel="1">
      <c r="A24" s="69">
        <v>4</v>
      </c>
      <c r="B24" s="76" t="s">
        <v>20</v>
      </c>
      <c r="C24" s="67" t="s">
        <v>17</v>
      </c>
      <c r="D24" s="68">
        <v>1</v>
      </c>
      <c r="E24" s="61">
        <f>观景甲板工程量!I54</f>
        <v>0</v>
      </c>
      <c r="F24" s="69"/>
      <c r="G24" s="57"/>
    </row>
    <row r="25" spans="1:7" s="52" customFormat="1" outlineLevel="1">
      <c r="A25" s="69">
        <v>5</v>
      </c>
      <c r="B25" s="70" t="s">
        <v>21</v>
      </c>
      <c r="C25" s="67" t="s">
        <v>17</v>
      </c>
      <c r="D25" s="68">
        <v>1</v>
      </c>
      <c r="E25" s="61">
        <f>观景甲板工程量!I67</f>
        <v>0</v>
      </c>
      <c r="F25" s="72"/>
      <c r="G25" s="57"/>
    </row>
    <row r="26" spans="1:7" s="52" customFormat="1" outlineLevel="1">
      <c r="A26" s="69">
        <v>6</v>
      </c>
      <c r="B26" s="70" t="s">
        <v>22</v>
      </c>
      <c r="C26" s="67" t="s">
        <v>17</v>
      </c>
      <c r="D26" s="68">
        <v>1</v>
      </c>
      <c r="E26" s="61">
        <f>观景甲板工程量!I80</f>
        <v>0</v>
      </c>
      <c r="F26" s="72"/>
      <c r="G26" s="57"/>
    </row>
    <row r="27" spans="1:7" s="52" customFormat="1" outlineLevel="1">
      <c r="A27" s="69">
        <v>7</v>
      </c>
      <c r="B27" s="70" t="s">
        <v>34</v>
      </c>
      <c r="C27" s="67" t="s">
        <v>17</v>
      </c>
      <c r="D27" s="68">
        <v>1</v>
      </c>
      <c r="E27" s="61">
        <f>观景甲板工程量!I98</f>
        <v>0</v>
      </c>
      <c r="F27" s="72"/>
      <c r="G27" s="57"/>
    </row>
    <row r="28" spans="1:7" s="54" customFormat="1" outlineLevel="1">
      <c r="A28" s="69">
        <v>8</v>
      </c>
      <c r="B28" s="76" t="s">
        <v>28</v>
      </c>
      <c r="C28" s="67" t="s">
        <v>17</v>
      </c>
      <c r="D28" s="68">
        <v>4</v>
      </c>
      <c r="E28" s="61">
        <f>观景甲板工程量!I111</f>
        <v>0</v>
      </c>
      <c r="F28" s="69"/>
      <c r="G28" s="57"/>
    </row>
    <row r="29" spans="1:7" s="54" customFormat="1">
      <c r="A29" s="93" t="s">
        <v>35</v>
      </c>
      <c r="B29" s="94"/>
      <c r="C29" s="94"/>
      <c r="D29" s="94"/>
      <c r="E29" s="73">
        <f>SUM(E22:E28)</f>
        <v>0</v>
      </c>
      <c r="F29" s="74"/>
    </row>
    <row r="30" spans="1:7" s="54" customFormat="1">
      <c r="A30" s="62" t="s">
        <v>36</v>
      </c>
      <c r="B30" s="75" t="s">
        <v>37</v>
      </c>
      <c r="C30" s="67"/>
      <c r="D30" s="68"/>
      <c r="E30" s="61"/>
      <c r="F30" s="69"/>
      <c r="G30" s="57"/>
    </row>
    <row r="31" spans="1:7" s="54" customFormat="1" outlineLevel="1">
      <c r="A31" s="69">
        <v>1</v>
      </c>
      <c r="B31" s="70" t="s">
        <v>38</v>
      </c>
      <c r="C31" s="67" t="s">
        <v>17</v>
      </c>
      <c r="D31" s="68">
        <v>1</v>
      </c>
      <c r="E31" s="61">
        <f>驾驶甲板工程量!I21</f>
        <v>0</v>
      </c>
      <c r="F31" s="69"/>
      <c r="G31" s="57"/>
    </row>
    <row r="32" spans="1:7" s="54" customFormat="1" outlineLevel="1">
      <c r="A32" s="69">
        <v>2</v>
      </c>
      <c r="B32" s="76" t="s">
        <v>20</v>
      </c>
      <c r="C32" s="67" t="s">
        <v>17</v>
      </c>
      <c r="D32" s="68">
        <v>1</v>
      </c>
      <c r="E32" s="61">
        <f>驾驶甲板工程量!I41</f>
        <v>0</v>
      </c>
      <c r="F32" s="69"/>
      <c r="G32" s="57"/>
    </row>
    <row r="33" spans="1:7" s="54" customFormat="1">
      <c r="A33" s="93" t="s">
        <v>39</v>
      </c>
      <c r="B33" s="94"/>
      <c r="C33" s="94"/>
      <c r="D33" s="94"/>
      <c r="E33" s="73">
        <f>SUM(E31:E32)</f>
        <v>0</v>
      </c>
      <c r="F33" s="74"/>
    </row>
    <row r="34" spans="1:7" s="54" customFormat="1">
      <c r="A34" s="62" t="s">
        <v>40</v>
      </c>
      <c r="B34" s="75" t="s">
        <v>41</v>
      </c>
      <c r="C34" s="67"/>
      <c r="D34" s="68"/>
      <c r="E34" s="61"/>
      <c r="F34" s="69"/>
      <c r="G34" s="57"/>
    </row>
    <row r="35" spans="1:7" s="54" customFormat="1" outlineLevel="1">
      <c r="A35" s="69">
        <v>1</v>
      </c>
      <c r="B35" s="70" t="s">
        <v>42</v>
      </c>
      <c r="C35" s="67" t="s">
        <v>17</v>
      </c>
      <c r="D35" s="68">
        <v>1</v>
      </c>
      <c r="E35" s="61">
        <f>阳光甲板工程量!I18</f>
        <v>0</v>
      </c>
      <c r="F35" s="69"/>
      <c r="G35" s="57"/>
    </row>
    <row r="36" spans="1:7" s="54" customFormat="1" outlineLevel="1">
      <c r="A36" s="69">
        <v>2</v>
      </c>
      <c r="B36" s="76" t="s">
        <v>20</v>
      </c>
      <c r="C36" s="67" t="s">
        <v>17</v>
      </c>
      <c r="D36" s="68">
        <v>2</v>
      </c>
      <c r="E36" s="61">
        <f>阳光甲板工程量!I38</f>
        <v>0</v>
      </c>
      <c r="F36" s="69"/>
      <c r="G36" s="57"/>
    </row>
    <row r="37" spans="1:7" s="52" customFormat="1" outlineLevel="1">
      <c r="A37" s="69">
        <v>3</v>
      </c>
      <c r="B37" s="70" t="s">
        <v>43</v>
      </c>
      <c r="C37" s="67" t="s">
        <v>17</v>
      </c>
      <c r="D37" s="68">
        <v>1</v>
      </c>
      <c r="E37" s="61">
        <f>阳光甲板工程量!I42</f>
        <v>0</v>
      </c>
      <c r="F37" s="72"/>
      <c r="G37" s="57"/>
    </row>
    <row r="38" spans="1:7" s="52" customFormat="1" outlineLevel="1">
      <c r="A38" s="69">
        <v>4</v>
      </c>
      <c r="B38" s="70" t="s">
        <v>44</v>
      </c>
      <c r="C38" s="67" t="s">
        <v>17</v>
      </c>
      <c r="D38" s="68">
        <v>2</v>
      </c>
      <c r="E38" s="61">
        <f>阳光甲板工程量!I52</f>
        <v>0</v>
      </c>
      <c r="F38" s="72"/>
      <c r="G38" s="57"/>
    </row>
    <row r="39" spans="1:7" s="52" customFormat="1" outlineLevel="1">
      <c r="A39" s="69">
        <v>5</v>
      </c>
      <c r="B39" s="70" t="s">
        <v>45</v>
      </c>
      <c r="C39" s="67" t="s">
        <v>17</v>
      </c>
      <c r="D39" s="68">
        <v>1</v>
      </c>
      <c r="E39" s="61">
        <f>阳光甲板工程量!I70</f>
        <v>0</v>
      </c>
      <c r="F39" s="72"/>
      <c r="G39" s="57"/>
    </row>
    <row r="40" spans="1:7" s="54" customFormat="1">
      <c r="A40" s="93" t="s">
        <v>46</v>
      </c>
      <c r="B40" s="94"/>
      <c r="C40" s="94"/>
      <c r="D40" s="94"/>
      <c r="E40" s="73">
        <f>SUM(E35:E39)</f>
        <v>0</v>
      </c>
      <c r="F40" s="74"/>
    </row>
    <row r="41" spans="1:7" s="55" customFormat="1">
      <c r="A41" s="95" t="s">
        <v>47</v>
      </c>
      <c r="B41" s="96"/>
      <c r="C41" s="96"/>
      <c r="D41" s="96"/>
      <c r="E41" s="77">
        <f>E12+E29+E33+E40+E20</f>
        <v>0</v>
      </c>
      <c r="F41" s="78"/>
    </row>
    <row r="42" spans="1:7" s="56" customFormat="1">
      <c r="A42" s="79" t="s">
        <v>48</v>
      </c>
      <c r="B42" s="75" t="s">
        <v>49</v>
      </c>
      <c r="C42" s="62"/>
      <c r="D42" s="62"/>
      <c r="E42" s="66"/>
      <c r="F42" s="63"/>
    </row>
    <row r="43" spans="1:7" ht="94.5">
      <c r="A43" s="80">
        <v>1</v>
      </c>
      <c r="B43" s="76" t="s">
        <v>50</v>
      </c>
      <c r="C43" s="69" t="s">
        <v>51</v>
      </c>
      <c r="D43" s="69">
        <v>1</v>
      </c>
      <c r="E43" s="61">
        <v>0</v>
      </c>
      <c r="F43" s="81" t="s">
        <v>52</v>
      </c>
    </row>
    <row r="44" spans="1:7" ht="63">
      <c r="A44" s="80">
        <v>2</v>
      </c>
      <c r="B44" s="76" t="s">
        <v>53</v>
      </c>
      <c r="C44" s="69" t="s">
        <v>51</v>
      </c>
      <c r="D44" s="69">
        <v>1</v>
      </c>
      <c r="E44" s="61">
        <v>0</v>
      </c>
      <c r="F44" s="81" t="s">
        <v>54</v>
      </c>
    </row>
    <row r="45" spans="1:7" ht="63">
      <c r="A45" s="80">
        <v>3</v>
      </c>
      <c r="B45" s="76" t="s">
        <v>55</v>
      </c>
      <c r="C45" s="69" t="s">
        <v>51</v>
      </c>
      <c r="D45" s="69">
        <v>1</v>
      </c>
      <c r="E45" s="61">
        <v>0</v>
      </c>
      <c r="F45" s="81" t="s">
        <v>56</v>
      </c>
    </row>
    <row r="46" spans="1:7">
      <c r="A46" s="80">
        <v>4</v>
      </c>
      <c r="B46" s="76" t="s">
        <v>57</v>
      </c>
      <c r="C46" s="69" t="s">
        <v>51</v>
      </c>
      <c r="D46" s="69">
        <v>1</v>
      </c>
      <c r="E46" s="61">
        <v>0</v>
      </c>
      <c r="F46" s="69"/>
    </row>
    <row r="47" spans="1:7" s="55" customFormat="1">
      <c r="A47" s="95" t="s">
        <v>58</v>
      </c>
      <c r="B47" s="96"/>
      <c r="C47" s="96"/>
      <c r="D47" s="96"/>
      <c r="E47" s="77">
        <f>SUM(E43:E46)</f>
        <v>0</v>
      </c>
      <c r="F47" s="82"/>
    </row>
    <row r="48" spans="1:7" s="56" customFormat="1">
      <c r="A48" s="79" t="s">
        <v>59</v>
      </c>
      <c r="B48" s="75" t="s">
        <v>60</v>
      </c>
      <c r="C48" s="62"/>
      <c r="D48" s="62"/>
      <c r="E48" s="66"/>
      <c r="F48" s="62"/>
    </row>
    <row r="49" spans="1:6">
      <c r="A49" s="80">
        <v>1</v>
      </c>
      <c r="B49" s="76" t="s">
        <v>61</v>
      </c>
      <c r="C49" s="69" t="s">
        <v>51</v>
      </c>
      <c r="D49" s="69">
        <v>1</v>
      </c>
      <c r="E49" s="61">
        <v>0</v>
      </c>
      <c r="F49" s="69"/>
    </row>
    <row r="50" spans="1:6">
      <c r="A50" s="80">
        <v>2</v>
      </c>
      <c r="B50" s="76" t="s">
        <v>62</v>
      </c>
      <c r="C50" s="69" t="s">
        <v>51</v>
      </c>
      <c r="D50" s="69">
        <v>1</v>
      </c>
      <c r="E50" s="61">
        <v>0</v>
      </c>
      <c r="F50" s="69"/>
    </row>
    <row r="51" spans="1:6" s="55" customFormat="1">
      <c r="A51" s="95" t="s">
        <v>63</v>
      </c>
      <c r="B51" s="96"/>
      <c r="C51" s="96"/>
      <c r="D51" s="96"/>
      <c r="E51" s="77">
        <v>0</v>
      </c>
      <c r="F51" s="82"/>
    </row>
    <row r="52" spans="1:6" s="56" customFormat="1">
      <c r="A52" s="62" t="s">
        <v>64</v>
      </c>
      <c r="B52" s="63" t="s">
        <v>65</v>
      </c>
      <c r="C52" s="62"/>
      <c r="D52" s="62"/>
      <c r="E52" s="66">
        <f>E41+E47+E51</f>
        <v>0</v>
      </c>
      <c r="F52" s="62"/>
    </row>
  </sheetData>
  <sheetProtection formatCells="0" formatColumns="0" formatRows="0" insertColumns="0" insertRows="0" insertHyperlinks="0" deleteColumns="0" deleteRows="0" sort="0" autoFilter="0" pivotTables="0"/>
  <protectedRanges>
    <protectedRange sqref="D3" name="建设单位_2"/>
  </protectedRanges>
  <mergeCells count="9">
    <mergeCell ref="A40:D40"/>
    <mergeCell ref="A41:D41"/>
    <mergeCell ref="A47:D47"/>
    <mergeCell ref="A51:D51"/>
    <mergeCell ref="A1:F1"/>
    <mergeCell ref="A12:D12"/>
    <mergeCell ref="A20:D20"/>
    <mergeCell ref="A29:D29"/>
    <mergeCell ref="A33:D33"/>
  </mergeCells>
  <phoneticPr fontId="23" type="noConversion"/>
  <printOptions horizontalCentered="1"/>
  <pageMargins left="0.39305555555555599" right="0.39305555555555599" top="0.59027777777777801" bottom="0.59027777777777801" header="0.59027777777777801" footer="0.39305555555555599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J110"/>
  <sheetViews>
    <sheetView view="pageBreakPreview" zoomScale="130" zoomScaleNormal="100" workbookViewId="0">
      <pane ySplit="4" topLeftCell="A5" activePane="bottomLeft" state="frozen"/>
      <selection pane="bottomLeft" activeCell="G43" sqref="G43"/>
    </sheetView>
  </sheetViews>
  <sheetFormatPr defaultColWidth="8.875" defaultRowHeight="12.75" outlineLevelRow="2"/>
  <cols>
    <col min="1" max="1" width="5.75" style="34" customWidth="1"/>
    <col min="2" max="2" width="19.625" style="35" customWidth="1"/>
    <col min="3" max="3" width="5" style="36" customWidth="1"/>
    <col min="4" max="8" width="8.875" style="36"/>
    <col min="9" max="9" width="9.5" style="36"/>
    <col min="10" max="10" width="27.375" style="36" customWidth="1"/>
    <col min="11" max="16384" width="8.875" style="36"/>
  </cols>
  <sheetData>
    <row r="1" spans="1:10" s="28" customFormat="1" ht="20.100000000000001" customHeight="1">
      <c r="A1" s="99" t="s">
        <v>66</v>
      </c>
      <c r="B1" s="100"/>
      <c r="C1" s="99"/>
      <c r="D1" s="101"/>
      <c r="E1" s="101"/>
      <c r="F1" s="101"/>
      <c r="G1" s="101"/>
      <c r="H1" s="101"/>
      <c r="I1" s="101"/>
      <c r="J1" s="99"/>
    </row>
    <row r="2" spans="1:10" s="29" customFormat="1" ht="15" customHeight="1">
      <c r="A2" s="102" t="s">
        <v>67</v>
      </c>
      <c r="B2" s="102"/>
      <c r="C2" s="102"/>
      <c r="D2" s="103"/>
      <c r="E2" s="104"/>
      <c r="F2" s="104"/>
      <c r="G2" s="104"/>
      <c r="H2" s="103"/>
      <c r="I2" s="103"/>
      <c r="J2" s="102"/>
    </row>
    <row r="3" spans="1:10" s="28" customFormat="1">
      <c r="A3" s="105"/>
      <c r="B3" s="107" t="s">
        <v>68</v>
      </c>
      <c r="C3" s="107" t="s">
        <v>69</v>
      </c>
      <c r="D3" s="104" t="s">
        <v>70</v>
      </c>
      <c r="E3" s="104" t="s">
        <v>71</v>
      </c>
      <c r="F3" s="110" t="s">
        <v>72</v>
      </c>
      <c r="G3" s="104" t="s">
        <v>73</v>
      </c>
      <c r="H3" s="112" t="s">
        <v>74</v>
      </c>
      <c r="I3" s="104" t="s">
        <v>75</v>
      </c>
      <c r="J3" s="113" t="s">
        <v>76</v>
      </c>
    </row>
    <row r="4" spans="1:10" s="28" customFormat="1">
      <c r="A4" s="106"/>
      <c r="B4" s="108"/>
      <c r="C4" s="108"/>
      <c r="D4" s="109"/>
      <c r="E4" s="109"/>
      <c r="F4" s="111"/>
      <c r="G4" s="109"/>
      <c r="H4" s="112"/>
      <c r="I4" s="104"/>
      <c r="J4" s="113"/>
    </row>
    <row r="5" spans="1:10" s="30" customFormat="1">
      <c r="A5" s="47" t="s">
        <v>14</v>
      </c>
      <c r="B5" s="39" t="s">
        <v>77</v>
      </c>
      <c r="C5" s="38"/>
      <c r="D5" s="40"/>
      <c r="E5" s="40"/>
      <c r="F5" s="40"/>
      <c r="G5" s="40"/>
      <c r="H5" s="40"/>
      <c r="I5" s="40"/>
      <c r="J5" s="39"/>
    </row>
    <row r="6" spans="1:10" s="31" customFormat="1" outlineLevel="1">
      <c r="A6" s="47"/>
      <c r="B6" s="42" t="s">
        <v>78</v>
      </c>
      <c r="C6" s="43"/>
      <c r="D6" s="44"/>
      <c r="E6" s="44"/>
      <c r="F6" s="44"/>
      <c r="G6" s="44"/>
      <c r="H6" s="44"/>
      <c r="I6" s="44"/>
      <c r="J6" s="42"/>
    </row>
    <row r="7" spans="1:10" s="31" customFormat="1" ht="63" customHeight="1" outlineLevel="2">
      <c r="A7" s="37">
        <v>1</v>
      </c>
      <c r="B7" s="42" t="s">
        <v>79</v>
      </c>
      <c r="C7" s="43" t="s">
        <v>80</v>
      </c>
      <c r="D7" s="44">
        <f>279.33-56.33+15.47</f>
        <v>238.47</v>
      </c>
      <c r="E7" s="44">
        <v>0</v>
      </c>
      <c r="F7" s="44">
        <v>0</v>
      </c>
      <c r="G7" s="44">
        <v>0</v>
      </c>
      <c r="H7" s="44">
        <f>E7+F7+G7</f>
        <v>0</v>
      </c>
      <c r="I7" s="44">
        <f>H7*D7</f>
        <v>0</v>
      </c>
      <c r="J7" s="42" t="s">
        <v>81</v>
      </c>
    </row>
    <row r="8" spans="1:10" s="31" customFormat="1" ht="67.5" outlineLevel="2">
      <c r="A8" s="47">
        <v>2</v>
      </c>
      <c r="B8" s="42" t="s">
        <v>82</v>
      </c>
      <c r="C8" s="43" t="s">
        <v>80</v>
      </c>
      <c r="D8" s="44">
        <f>279.33-56.33+15.47</f>
        <v>238.47</v>
      </c>
      <c r="E8" s="44">
        <v>0</v>
      </c>
      <c r="F8" s="44">
        <v>0</v>
      </c>
      <c r="G8" s="44">
        <v>0</v>
      </c>
      <c r="H8" s="44">
        <f>E8+F8+G8</f>
        <v>0</v>
      </c>
      <c r="I8" s="44">
        <f>H8*D8</f>
        <v>0</v>
      </c>
      <c r="J8" s="42" t="s">
        <v>83</v>
      </c>
    </row>
    <row r="9" spans="1:10" s="31" customFormat="1" ht="56.25" outlineLevel="2">
      <c r="A9" s="37">
        <v>3</v>
      </c>
      <c r="B9" s="42" t="s">
        <v>84</v>
      </c>
      <c r="C9" s="43" t="s">
        <v>85</v>
      </c>
      <c r="D9" s="44">
        <v>87.48</v>
      </c>
      <c r="E9" s="44">
        <v>0</v>
      </c>
      <c r="F9" s="44">
        <v>0</v>
      </c>
      <c r="G9" s="44">
        <v>0</v>
      </c>
      <c r="H9" s="44">
        <f>E9+F9+G9</f>
        <v>0</v>
      </c>
      <c r="I9" s="44">
        <f>H9*D9</f>
        <v>0</v>
      </c>
      <c r="J9" s="42" t="s">
        <v>86</v>
      </c>
    </row>
    <row r="10" spans="1:10" s="32" customFormat="1" ht="56.25" outlineLevel="2">
      <c r="A10" s="37">
        <v>4</v>
      </c>
      <c r="B10" s="42" t="s">
        <v>87</v>
      </c>
      <c r="C10" s="43" t="s">
        <v>85</v>
      </c>
      <c r="D10" s="44">
        <v>24.6</v>
      </c>
      <c r="E10" s="44">
        <v>0</v>
      </c>
      <c r="F10" s="44">
        <v>0</v>
      </c>
      <c r="G10" s="44">
        <v>0</v>
      </c>
      <c r="H10" s="44">
        <f>E10+F10+G10</f>
        <v>0</v>
      </c>
      <c r="I10" s="44">
        <f>H10*D10</f>
        <v>0</v>
      </c>
      <c r="J10" s="42" t="s">
        <v>88</v>
      </c>
    </row>
    <row r="11" spans="1:10" s="31" customFormat="1" outlineLevel="1">
      <c r="A11" s="47"/>
      <c r="B11" s="42" t="s">
        <v>89</v>
      </c>
      <c r="C11" s="43"/>
      <c r="D11" s="44"/>
      <c r="E11" s="44"/>
      <c r="F11" s="44"/>
      <c r="G11" s="44"/>
      <c r="H11" s="44"/>
      <c r="I11" s="44"/>
      <c r="J11" s="42"/>
    </row>
    <row r="12" spans="1:10" s="33" customFormat="1" ht="67.5" outlineLevel="2">
      <c r="A12" s="37">
        <v>1</v>
      </c>
      <c r="B12" s="42" t="s">
        <v>90</v>
      </c>
      <c r="C12" s="47" t="s">
        <v>91</v>
      </c>
      <c r="D12" s="48">
        <f>(166.58-34.01-6.02-6.4-4.3-2.6*2-0.8*2+10)*2.15</f>
        <v>255.96</v>
      </c>
      <c r="E12" s="44">
        <v>0</v>
      </c>
      <c r="F12" s="44">
        <v>0</v>
      </c>
      <c r="G12" s="44">
        <v>0</v>
      </c>
      <c r="H12" s="44">
        <f t="shared" ref="H12:H14" si="0">E12+F12+G12</f>
        <v>0</v>
      </c>
      <c r="I12" s="44">
        <f t="shared" ref="I12:I14" si="1">H12*D12</f>
        <v>0</v>
      </c>
      <c r="J12" s="42" t="s">
        <v>92</v>
      </c>
    </row>
    <row r="13" spans="1:10" s="31" customFormat="1" ht="67.5" outlineLevel="2">
      <c r="A13" s="47">
        <v>2</v>
      </c>
      <c r="B13" s="42" t="s">
        <v>93</v>
      </c>
      <c r="C13" s="47" t="s">
        <v>91</v>
      </c>
      <c r="D13" s="48">
        <f>(166.58-34.01-6.02-6.4-4.3-2.6*2-0.8*2+10)*2.15</f>
        <v>255.96</v>
      </c>
      <c r="E13" s="44">
        <v>0</v>
      </c>
      <c r="F13" s="44">
        <v>0</v>
      </c>
      <c r="G13" s="44">
        <v>0</v>
      </c>
      <c r="H13" s="44">
        <f t="shared" si="0"/>
        <v>0</v>
      </c>
      <c r="I13" s="44">
        <f t="shared" si="1"/>
        <v>0</v>
      </c>
      <c r="J13" s="42" t="s">
        <v>94</v>
      </c>
    </row>
    <row r="14" spans="1:10" s="31" customFormat="1" ht="67.5" outlineLevel="2">
      <c r="A14" s="37">
        <v>3</v>
      </c>
      <c r="B14" s="42" t="s">
        <v>95</v>
      </c>
      <c r="C14" s="47" t="s">
        <v>96</v>
      </c>
      <c r="D14" s="48">
        <v>4</v>
      </c>
      <c r="E14" s="44">
        <v>0</v>
      </c>
      <c r="F14" s="44">
        <v>0</v>
      </c>
      <c r="G14" s="44">
        <v>0</v>
      </c>
      <c r="H14" s="44">
        <f t="shared" si="0"/>
        <v>0</v>
      </c>
      <c r="I14" s="44">
        <f t="shared" si="1"/>
        <v>0</v>
      </c>
      <c r="J14" s="42" t="s">
        <v>97</v>
      </c>
    </row>
    <row r="15" spans="1:10" s="31" customFormat="1" ht="56.25" outlineLevel="2">
      <c r="A15" s="47">
        <v>4</v>
      </c>
      <c r="B15" s="42" t="s">
        <v>98</v>
      </c>
      <c r="C15" s="47" t="s">
        <v>91</v>
      </c>
      <c r="D15" s="44">
        <f>(6.56+1.35)*2.15*2</f>
        <v>34.01</v>
      </c>
      <c r="E15" s="44">
        <v>0</v>
      </c>
      <c r="F15" s="44">
        <v>0</v>
      </c>
      <c r="G15" s="44">
        <v>0</v>
      </c>
      <c r="H15" s="44">
        <f>E15+F15+G15</f>
        <v>0</v>
      </c>
      <c r="I15" s="44">
        <f>H15*D15</f>
        <v>0</v>
      </c>
      <c r="J15" s="42" t="s">
        <v>99</v>
      </c>
    </row>
    <row r="16" spans="1:10" s="31" customFormat="1" ht="78.75" outlineLevel="2">
      <c r="A16" s="37">
        <v>5</v>
      </c>
      <c r="B16" s="42" t="s">
        <v>100</v>
      </c>
      <c r="C16" s="43" t="s">
        <v>85</v>
      </c>
      <c r="D16" s="44">
        <v>13</v>
      </c>
      <c r="E16" s="44">
        <v>0</v>
      </c>
      <c r="F16" s="44">
        <v>0</v>
      </c>
      <c r="G16" s="44">
        <v>0</v>
      </c>
      <c r="H16" s="44">
        <f>E16+F16+G16</f>
        <v>0</v>
      </c>
      <c r="I16" s="44">
        <f>H16*D16</f>
        <v>0</v>
      </c>
      <c r="J16" s="42" t="s">
        <v>101</v>
      </c>
    </row>
    <row r="17" spans="1:10" s="31" customFormat="1" ht="56.25" outlineLevel="2">
      <c r="A17" s="37">
        <v>6</v>
      </c>
      <c r="B17" s="42" t="s">
        <v>102</v>
      </c>
      <c r="C17" s="47" t="s">
        <v>91</v>
      </c>
      <c r="D17" s="44">
        <f>(2.15*0.5*3+2.4*0.2*2)*2</f>
        <v>8.3699999999999992</v>
      </c>
      <c r="E17" s="44">
        <v>0</v>
      </c>
      <c r="F17" s="44">
        <v>0</v>
      </c>
      <c r="G17" s="44">
        <v>0</v>
      </c>
      <c r="H17" s="44">
        <f>E17+F17+G17</f>
        <v>0</v>
      </c>
      <c r="I17" s="44">
        <f>H17*D17</f>
        <v>0</v>
      </c>
      <c r="J17" s="42" t="s">
        <v>103</v>
      </c>
    </row>
    <row r="18" spans="1:10" s="31" customFormat="1" ht="56.25" outlineLevel="2">
      <c r="A18" s="47">
        <v>7</v>
      </c>
      <c r="B18" s="42" t="s">
        <v>104</v>
      </c>
      <c r="C18" s="43" t="s">
        <v>105</v>
      </c>
      <c r="D18" s="44">
        <v>6</v>
      </c>
      <c r="E18" s="44">
        <v>0</v>
      </c>
      <c r="F18" s="44">
        <v>0</v>
      </c>
      <c r="G18" s="44">
        <v>0</v>
      </c>
      <c r="H18" s="44">
        <f>E18+F18+G18</f>
        <v>0</v>
      </c>
      <c r="I18" s="44">
        <f>H18*D18</f>
        <v>0</v>
      </c>
      <c r="J18" s="42" t="s">
        <v>106</v>
      </c>
    </row>
    <row r="19" spans="1:10" s="31" customFormat="1" ht="56.25" outlineLevel="2">
      <c r="A19" s="37">
        <v>8</v>
      </c>
      <c r="B19" s="42" t="s">
        <v>107</v>
      </c>
      <c r="C19" s="47" t="s">
        <v>91</v>
      </c>
      <c r="D19" s="44">
        <f>1.4*2.15*2</f>
        <v>6.02</v>
      </c>
      <c r="E19" s="44">
        <v>0</v>
      </c>
      <c r="F19" s="44">
        <v>0</v>
      </c>
      <c r="G19" s="44">
        <v>0</v>
      </c>
      <c r="H19" s="44">
        <f>E19+F19+G19</f>
        <v>0</v>
      </c>
      <c r="I19" s="44">
        <f>H19*D19</f>
        <v>0</v>
      </c>
      <c r="J19" s="42" t="s">
        <v>108</v>
      </c>
    </row>
    <row r="20" spans="1:10" s="31" customFormat="1" outlineLevel="1">
      <c r="A20" s="47"/>
      <c r="B20" s="42" t="s">
        <v>109</v>
      </c>
      <c r="C20" s="43"/>
      <c r="D20" s="44"/>
      <c r="E20" s="44"/>
      <c r="F20" s="44"/>
      <c r="G20" s="44"/>
      <c r="H20" s="44"/>
      <c r="I20" s="44"/>
      <c r="J20" s="42"/>
    </row>
    <row r="21" spans="1:10" s="31" customFormat="1" ht="45" outlineLevel="2">
      <c r="A21" s="47">
        <v>1</v>
      </c>
      <c r="B21" s="42" t="s">
        <v>110</v>
      </c>
      <c r="C21" s="43" t="s">
        <v>80</v>
      </c>
      <c r="D21" s="44">
        <f>279.13-56.33</f>
        <v>222.8</v>
      </c>
      <c r="E21" s="44">
        <v>0</v>
      </c>
      <c r="F21" s="44">
        <v>0</v>
      </c>
      <c r="G21" s="44">
        <v>0</v>
      </c>
      <c r="H21" s="44">
        <f>E21+F21+G21</f>
        <v>0</v>
      </c>
      <c r="I21" s="44">
        <f>H21*D21</f>
        <v>0</v>
      </c>
      <c r="J21" s="42" t="s">
        <v>111</v>
      </c>
    </row>
    <row r="22" spans="1:10" s="31" customFormat="1" ht="45" outlineLevel="2">
      <c r="A22" s="37">
        <v>2</v>
      </c>
      <c r="B22" s="42" t="s">
        <v>112</v>
      </c>
      <c r="C22" s="43" t="s">
        <v>80</v>
      </c>
      <c r="D22" s="44">
        <f>4.74+4.4+1.28*0.45*7*2</f>
        <v>17.2</v>
      </c>
      <c r="E22" s="44">
        <v>0</v>
      </c>
      <c r="F22" s="44">
        <v>0</v>
      </c>
      <c r="G22" s="44">
        <v>0</v>
      </c>
      <c r="H22" s="44">
        <f>E22+F22+G22</f>
        <v>0</v>
      </c>
      <c r="I22" s="44">
        <f>H22*D22</f>
        <v>0</v>
      </c>
      <c r="J22" s="42" t="s">
        <v>111</v>
      </c>
    </row>
    <row r="23" spans="1:10" s="31" customFormat="1" ht="45" outlineLevel="2">
      <c r="A23" s="37">
        <v>3</v>
      </c>
      <c r="B23" s="42" t="s">
        <v>113</v>
      </c>
      <c r="C23" s="43" t="s">
        <v>80</v>
      </c>
      <c r="D23" s="44">
        <f>2.34*0.65*2</f>
        <v>3.04</v>
      </c>
      <c r="E23" s="44">
        <v>0</v>
      </c>
      <c r="F23" s="44">
        <v>0</v>
      </c>
      <c r="G23" s="44">
        <v>0</v>
      </c>
      <c r="H23" s="44">
        <f>E23+F23+G23</f>
        <v>0</v>
      </c>
      <c r="I23" s="44">
        <f>H23*D23</f>
        <v>0</v>
      </c>
      <c r="J23" s="42" t="s">
        <v>114</v>
      </c>
    </row>
    <row r="24" spans="1:10" s="33" customFormat="1" ht="19.899999999999999" customHeight="1" outlineLevel="2">
      <c r="A24" s="47"/>
      <c r="B24" s="42" t="s">
        <v>115</v>
      </c>
      <c r="C24" s="47"/>
      <c r="D24" s="48"/>
      <c r="E24" s="44"/>
      <c r="F24" s="44"/>
      <c r="G24" s="44"/>
      <c r="H24" s="44"/>
      <c r="I24" s="44">
        <f>SUM(I7:I23)</f>
        <v>0</v>
      </c>
      <c r="J24" s="42"/>
    </row>
    <row r="25" spans="1:10" s="30" customFormat="1">
      <c r="A25" s="37" t="s">
        <v>25</v>
      </c>
      <c r="B25" s="39" t="s">
        <v>116</v>
      </c>
      <c r="C25" s="38"/>
      <c r="D25" s="40"/>
      <c r="E25" s="40"/>
      <c r="F25" s="40"/>
      <c r="G25" s="40"/>
      <c r="H25" s="40"/>
      <c r="I25" s="40"/>
      <c r="J25" s="39"/>
    </row>
    <row r="26" spans="1:10" s="31" customFormat="1" outlineLevel="1">
      <c r="A26" s="47"/>
      <c r="B26" s="42" t="s">
        <v>78</v>
      </c>
      <c r="C26" s="43"/>
      <c r="D26" s="44"/>
      <c r="E26" s="44"/>
      <c r="F26" s="44"/>
      <c r="G26" s="44"/>
      <c r="H26" s="44"/>
      <c r="I26" s="44"/>
      <c r="J26" s="42"/>
    </row>
    <row r="27" spans="1:10" s="31" customFormat="1" ht="63" customHeight="1" outlineLevel="2">
      <c r="A27" s="37">
        <v>1</v>
      </c>
      <c r="B27" s="42" t="s">
        <v>79</v>
      </c>
      <c r="C27" s="43" t="s">
        <v>80</v>
      </c>
      <c r="D27" s="44">
        <v>11.73</v>
      </c>
      <c r="E27" s="44">
        <v>0</v>
      </c>
      <c r="F27" s="44">
        <v>0</v>
      </c>
      <c r="G27" s="44">
        <v>0</v>
      </c>
      <c r="H27" s="44">
        <f>E27+F27+G27</f>
        <v>0</v>
      </c>
      <c r="I27" s="44">
        <f>H27*D27</f>
        <v>0</v>
      </c>
      <c r="J27" s="42" t="s">
        <v>81</v>
      </c>
    </row>
    <row r="28" spans="1:10" s="31" customFormat="1" ht="67.5" outlineLevel="2">
      <c r="A28" s="47">
        <v>2</v>
      </c>
      <c r="B28" s="42" t="s">
        <v>117</v>
      </c>
      <c r="C28" s="43" t="s">
        <v>80</v>
      </c>
      <c r="D28" s="44">
        <v>11.73</v>
      </c>
      <c r="E28" s="44">
        <v>0</v>
      </c>
      <c r="F28" s="44">
        <v>0</v>
      </c>
      <c r="G28" s="44">
        <v>0</v>
      </c>
      <c r="H28" s="44">
        <f>E28+F28+G28</f>
        <v>0</v>
      </c>
      <c r="I28" s="44">
        <f>H28*D28</f>
        <v>0</v>
      </c>
      <c r="J28" s="42" t="s">
        <v>118</v>
      </c>
    </row>
    <row r="29" spans="1:10" s="31" customFormat="1" ht="56.25" outlineLevel="2">
      <c r="A29" s="37">
        <v>3</v>
      </c>
      <c r="B29" s="42" t="s">
        <v>84</v>
      </c>
      <c r="C29" s="43" t="s">
        <v>85</v>
      </c>
      <c r="D29" s="44">
        <v>13.98</v>
      </c>
      <c r="E29" s="44">
        <v>0</v>
      </c>
      <c r="F29" s="44">
        <v>0</v>
      </c>
      <c r="G29" s="44">
        <v>0</v>
      </c>
      <c r="H29" s="44">
        <f>E29+F29+G29</f>
        <v>0</v>
      </c>
      <c r="I29" s="44">
        <f>H29*D29</f>
        <v>0</v>
      </c>
      <c r="J29" s="42" t="s">
        <v>119</v>
      </c>
    </row>
    <row r="30" spans="1:10" s="32" customFormat="1" ht="56.25" outlineLevel="2">
      <c r="A30" s="47">
        <v>4</v>
      </c>
      <c r="B30" s="42" t="s">
        <v>120</v>
      </c>
      <c r="C30" s="43" t="s">
        <v>121</v>
      </c>
      <c r="D30" s="44">
        <v>1</v>
      </c>
      <c r="E30" s="44">
        <v>0</v>
      </c>
      <c r="F30" s="44">
        <v>0</v>
      </c>
      <c r="G30" s="44">
        <v>0</v>
      </c>
      <c r="H30" s="44">
        <f>E30+F30+G30</f>
        <v>0</v>
      </c>
      <c r="I30" s="44">
        <f>H30*D30</f>
        <v>0</v>
      </c>
      <c r="J30" s="42" t="s">
        <v>88</v>
      </c>
    </row>
    <row r="31" spans="1:10" s="31" customFormat="1" outlineLevel="1">
      <c r="A31" s="37"/>
      <c r="B31" s="42" t="s">
        <v>89</v>
      </c>
      <c r="C31" s="43"/>
      <c r="D31" s="44"/>
      <c r="E31" s="44"/>
      <c r="F31" s="44"/>
      <c r="G31" s="44"/>
      <c r="H31" s="44"/>
      <c r="I31" s="44"/>
      <c r="J31" s="42"/>
    </row>
    <row r="32" spans="1:10" s="33" customFormat="1" ht="67.5" outlineLevel="2">
      <c r="A32" s="47">
        <v>1</v>
      </c>
      <c r="B32" s="42" t="s">
        <v>90</v>
      </c>
      <c r="C32" s="47" t="s">
        <v>91</v>
      </c>
      <c r="D32" s="48">
        <v>31.39</v>
      </c>
      <c r="E32" s="44">
        <v>0</v>
      </c>
      <c r="F32" s="44">
        <v>0</v>
      </c>
      <c r="G32" s="44">
        <v>0</v>
      </c>
      <c r="H32" s="44">
        <f>E32+F32+G32</f>
        <v>0</v>
      </c>
      <c r="I32" s="44">
        <f>H32*D32</f>
        <v>0</v>
      </c>
      <c r="J32" s="42" t="s">
        <v>92</v>
      </c>
    </row>
    <row r="33" spans="1:10" s="31" customFormat="1" ht="146.25" outlineLevel="2">
      <c r="A33" s="37">
        <v>2</v>
      </c>
      <c r="B33" s="42" t="s">
        <v>122</v>
      </c>
      <c r="C33" s="47" t="s">
        <v>91</v>
      </c>
      <c r="D33" s="44">
        <f>(13.98-0.9)*2.4</f>
        <v>31.39</v>
      </c>
      <c r="E33" s="44">
        <v>0</v>
      </c>
      <c r="F33" s="44">
        <v>0</v>
      </c>
      <c r="G33" s="44">
        <v>0</v>
      </c>
      <c r="H33" s="44">
        <f>E33+F33+G33</f>
        <v>0</v>
      </c>
      <c r="I33" s="44">
        <f>H33*D33</f>
        <v>0</v>
      </c>
      <c r="J33" s="42" t="s">
        <v>123</v>
      </c>
    </row>
    <row r="34" spans="1:10" s="31" customFormat="1" ht="56.25" outlineLevel="2">
      <c r="A34" s="47">
        <v>3</v>
      </c>
      <c r="B34" s="42" t="s">
        <v>104</v>
      </c>
      <c r="C34" s="43" t="s">
        <v>105</v>
      </c>
      <c r="D34" s="44">
        <v>2</v>
      </c>
      <c r="E34" s="44">
        <v>0</v>
      </c>
      <c r="F34" s="44">
        <v>0</v>
      </c>
      <c r="G34" s="44">
        <v>0</v>
      </c>
      <c r="H34" s="44">
        <f>E34+F34+G34</f>
        <v>0</v>
      </c>
      <c r="I34" s="44">
        <f>H34*D34</f>
        <v>0</v>
      </c>
      <c r="J34" s="42" t="s">
        <v>124</v>
      </c>
    </row>
    <row r="35" spans="1:10" s="50" customFormat="1" ht="19.899999999999999" customHeight="1" outlineLevel="2">
      <c r="A35" s="37"/>
      <c r="B35" s="42" t="s">
        <v>115</v>
      </c>
      <c r="C35" s="47"/>
      <c r="D35" s="48"/>
      <c r="E35" s="44"/>
      <c r="F35" s="44"/>
      <c r="G35" s="44"/>
      <c r="H35" s="44"/>
      <c r="I35" s="44">
        <f>SUM(I27:I34)</f>
        <v>0</v>
      </c>
      <c r="J35" s="42"/>
    </row>
    <row r="36" spans="1:10" s="30" customFormat="1">
      <c r="A36" s="47" t="s">
        <v>30</v>
      </c>
      <c r="B36" s="39" t="s">
        <v>125</v>
      </c>
      <c r="C36" s="38"/>
      <c r="D36" s="40"/>
      <c r="E36" s="40"/>
      <c r="F36" s="40"/>
      <c r="G36" s="40"/>
      <c r="H36" s="40"/>
      <c r="I36" s="40"/>
      <c r="J36" s="39"/>
    </row>
    <row r="37" spans="1:10" s="31" customFormat="1" outlineLevel="1">
      <c r="A37" s="37"/>
      <c r="B37" s="42" t="s">
        <v>78</v>
      </c>
      <c r="C37" s="43"/>
      <c r="D37" s="44"/>
      <c r="E37" s="44"/>
      <c r="F37" s="44"/>
      <c r="G37" s="44"/>
      <c r="H37" s="44"/>
      <c r="I37" s="44"/>
      <c r="J37" s="42"/>
    </row>
    <row r="38" spans="1:10" s="31" customFormat="1" ht="63" customHeight="1" outlineLevel="2">
      <c r="A38" s="47">
        <v>1</v>
      </c>
      <c r="B38" s="42" t="s">
        <v>79</v>
      </c>
      <c r="C38" s="43" t="s">
        <v>80</v>
      </c>
      <c r="D38" s="44">
        <v>11.73</v>
      </c>
      <c r="E38" s="44">
        <v>0</v>
      </c>
      <c r="F38" s="44">
        <v>0</v>
      </c>
      <c r="G38" s="44">
        <v>0</v>
      </c>
      <c r="H38" s="44">
        <f t="shared" ref="H38:H41" si="2">E38+F38+G38</f>
        <v>0</v>
      </c>
      <c r="I38" s="44">
        <f t="shared" ref="I38:I41" si="3">H38*D38</f>
        <v>0</v>
      </c>
      <c r="J38" s="42" t="s">
        <v>81</v>
      </c>
    </row>
    <row r="39" spans="1:10" s="31" customFormat="1" ht="67.5" outlineLevel="2">
      <c r="A39" s="37">
        <v>2</v>
      </c>
      <c r="B39" s="42" t="s">
        <v>117</v>
      </c>
      <c r="C39" s="43" t="s">
        <v>80</v>
      </c>
      <c r="D39" s="44">
        <v>11.73</v>
      </c>
      <c r="E39" s="44">
        <v>0</v>
      </c>
      <c r="F39" s="44">
        <v>0</v>
      </c>
      <c r="G39" s="44">
        <v>0</v>
      </c>
      <c r="H39" s="44">
        <f t="shared" si="2"/>
        <v>0</v>
      </c>
      <c r="I39" s="44">
        <f t="shared" si="3"/>
        <v>0</v>
      </c>
      <c r="J39" s="42" t="s">
        <v>118</v>
      </c>
    </row>
    <row r="40" spans="1:10" s="31" customFormat="1" ht="56.25" outlineLevel="2">
      <c r="A40" s="47">
        <v>3</v>
      </c>
      <c r="B40" s="42" t="s">
        <v>84</v>
      </c>
      <c r="C40" s="43" t="s">
        <v>85</v>
      </c>
      <c r="D40" s="44">
        <v>13.98</v>
      </c>
      <c r="E40" s="44">
        <v>0</v>
      </c>
      <c r="F40" s="44">
        <v>0</v>
      </c>
      <c r="G40" s="44">
        <v>0</v>
      </c>
      <c r="H40" s="44">
        <f t="shared" si="2"/>
        <v>0</v>
      </c>
      <c r="I40" s="44">
        <f t="shared" si="3"/>
        <v>0</v>
      </c>
      <c r="J40" s="42" t="s">
        <v>119</v>
      </c>
    </row>
    <row r="41" spans="1:10" s="32" customFormat="1" ht="56.25" outlineLevel="2">
      <c r="A41" s="37">
        <v>4</v>
      </c>
      <c r="B41" s="42" t="s">
        <v>120</v>
      </c>
      <c r="C41" s="43" t="s">
        <v>121</v>
      </c>
      <c r="D41" s="44">
        <v>1</v>
      </c>
      <c r="E41" s="44">
        <v>0</v>
      </c>
      <c r="F41" s="44">
        <v>0</v>
      </c>
      <c r="G41" s="44">
        <v>0</v>
      </c>
      <c r="H41" s="44">
        <f t="shared" si="2"/>
        <v>0</v>
      </c>
      <c r="I41" s="44">
        <f t="shared" si="3"/>
        <v>0</v>
      </c>
      <c r="J41" s="42" t="s">
        <v>88</v>
      </c>
    </row>
    <row r="42" spans="1:10" s="31" customFormat="1" outlineLevel="1">
      <c r="A42" s="47"/>
      <c r="B42" s="42" t="s">
        <v>89</v>
      </c>
      <c r="C42" s="43"/>
      <c r="D42" s="44"/>
      <c r="E42" s="44"/>
      <c r="F42" s="44"/>
      <c r="G42" s="44"/>
      <c r="H42" s="44"/>
      <c r="I42" s="44"/>
      <c r="J42" s="42"/>
    </row>
    <row r="43" spans="1:10" s="33" customFormat="1" ht="67.5" outlineLevel="2">
      <c r="A43" s="37">
        <v>1</v>
      </c>
      <c r="B43" s="42" t="s">
        <v>90</v>
      </c>
      <c r="C43" s="47" t="s">
        <v>91</v>
      </c>
      <c r="D43" s="48">
        <v>31.39</v>
      </c>
      <c r="E43" s="44">
        <v>0</v>
      </c>
      <c r="F43" s="44">
        <v>0</v>
      </c>
      <c r="G43" s="44">
        <v>0</v>
      </c>
      <c r="H43" s="44">
        <f>E43+F43+G43</f>
        <v>0</v>
      </c>
      <c r="I43" s="44">
        <f>H43*D43</f>
        <v>0</v>
      </c>
      <c r="J43" s="42" t="s">
        <v>92</v>
      </c>
    </row>
    <row r="44" spans="1:10" s="31" customFormat="1" ht="146.25" outlineLevel="2">
      <c r="A44" s="47">
        <v>2</v>
      </c>
      <c r="B44" s="42" t="s">
        <v>122</v>
      </c>
      <c r="C44" s="47" t="s">
        <v>91</v>
      </c>
      <c r="D44" s="44">
        <f>(13.98-1.6)*2.4</f>
        <v>29.71</v>
      </c>
      <c r="E44" s="44">
        <v>0</v>
      </c>
      <c r="F44" s="44">
        <v>0</v>
      </c>
      <c r="G44" s="44">
        <v>0</v>
      </c>
      <c r="H44" s="44">
        <f>E44+F44+G44</f>
        <v>0</v>
      </c>
      <c r="I44" s="44">
        <f>H44*D44</f>
        <v>0</v>
      </c>
      <c r="J44" s="42" t="s">
        <v>123</v>
      </c>
    </row>
    <row r="45" spans="1:10" s="31" customFormat="1" ht="56.25" outlineLevel="2">
      <c r="A45" s="37">
        <v>3</v>
      </c>
      <c r="B45" s="42" t="s">
        <v>104</v>
      </c>
      <c r="C45" s="43" t="s">
        <v>105</v>
      </c>
      <c r="D45" s="44">
        <v>1</v>
      </c>
      <c r="E45" s="44">
        <v>0</v>
      </c>
      <c r="F45" s="44">
        <v>0</v>
      </c>
      <c r="G45" s="44">
        <v>0</v>
      </c>
      <c r="H45" s="44">
        <f>E45+F45+G45</f>
        <v>0</v>
      </c>
      <c r="I45" s="44">
        <f>H45*D45</f>
        <v>0</v>
      </c>
      <c r="J45" s="42" t="s">
        <v>124</v>
      </c>
    </row>
    <row r="46" spans="1:10" s="50" customFormat="1" ht="19.899999999999999" customHeight="1" outlineLevel="2">
      <c r="A46" s="47"/>
      <c r="B46" s="42" t="s">
        <v>115</v>
      </c>
      <c r="C46" s="47"/>
      <c r="D46" s="48"/>
      <c r="E46" s="44"/>
      <c r="F46" s="44"/>
      <c r="G46" s="44"/>
      <c r="H46" s="44"/>
      <c r="I46" s="44">
        <f>SUM(I38:I45)</f>
        <v>0</v>
      </c>
      <c r="J46" s="42"/>
    </row>
    <row r="47" spans="1:10" s="30" customFormat="1">
      <c r="A47" s="37" t="s">
        <v>36</v>
      </c>
      <c r="B47" s="39" t="s">
        <v>126</v>
      </c>
      <c r="C47" s="38"/>
      <c r="D47" s="40"/>
      <c r="E47" s="40"/>
      <c r="F47" s="40"/>
      <c r="G47" s="40"/>
      <c r="H47" s="40"/>
      <c r="I47" s="40"/>
      <c r="J47" s="39"/>
    </row>
    <row r="48" spans="1:10" s="31" customFormat="1" outlineLevel="1">
      <c r="A48" s="47"/>
      <c r="B48" s="42" t="s">
        <v>78</v>
      </c>
      <c r="C48" s="43"/>
      <c r="D48" s="44"/>
      <c r="E48" s="44"/>
      <c r="F48" s="44"/>
      <c r="G48" s="44"/>
      <c r="H48" s="44"/>
      <c r="I48" s="44"/>
      <c r="J48" s="42"/>
    </row>
    <row r="49" spans="1:10" s="31" customFormat="1" ht="67.5" outlineLevel="2">
      <c r="A49" s="37">
        <v>1</v>
      </c>
      <c r="B49" s="42" t="s">
        <v>79</v>
      </c>
      <c r="C49" s="43" t="s">
        <v>80</v>
      </c>
      <c r="D49" s="44">
        <f>10.64*2</f>
        <v>21.28</v>
      </c>
      <c r="E49" s="44">
        <v>0</v>
      </c>
      <c r="F49" s="44">
        <v>0</v>
      </c>
      <c r="G49" s="44">
        <v>0</v>
      </c>
      <c r="H49" s="44">
        <f t="shared" ref="H49:H51" si="4">E49+F49+G49</f>
        <v>0</v>
      </c>
      <c r="I49" s="44">
        <f t="shared" ref="I49:I52" si="5">H49*D49</f>
        <v>0</v>
      </c>
      <c r="J49" s="42" t="s">
        <v>81</v>
      </c>
    </row>
    <row r="50" spans="1:10" s="31" customFormat="1" ht="67.5" outlineLevel="2">
      <c r="A50" s="47">
        <v>2</v>
      </c>
      <c r="B50" s="42" t="s">
        <v>127</v>
      </c>
      <c r="C50" s="43" t="s">
        <v>80</v>
      </c>
      <c r="D50" s="44">
        <f>10.64*2</f>
        <v>21.28</v>
      </c>
      <c r="E50" s="44">
        <v>0</v>
      </c>
      <c r="F50" s="44">
        <v>0</v>
      </c>
      <c r="G50" s="44">
        <v>0</v>
      </c>
      <c r="H50" s="44">
        <f t="shared" si="4"/>
        <v>0</v>
      </c>
      <c r="I50" s="44">
        <f t="shared" si="5"/>
        <v>0</v>
      </c>
      <c r="J50" s="42" t="s">
        <v>128</v>
      </c>
    </row>
    <row r="51" spans="1:10" s="31" customFormat="1" ht="56.25" outlineLevel="2">
      <c r="A51" s="37">
        <v>3</v>
      </c>
      <c r="B51" s="42" t="s">
        <v>84</v>
      </c>
      <c r="C51" s="43" t="s">
        <v>85</v>
      </c>
      <c r="D51" s="44">
        <f>18.8*2</f>
        <v>37.6</v>
      </c>
      <c r="E51" s="44">
        <v>0</v>
      </c>
      <c r="F51" s="44">
        <v>0</v>
      </c>
      <c r="G51" s="44">
        <v>0</v>
      </c>
      <c r="H51" s="44">
        <f t="shared" si="4"/>
        <v>0</v>
      </c>
      <c r="I51" s="44">
        <f t="shared" si="5"/>
        <v>0</v>
      </c>
      <c r="J51" s="42" t="s">
        <v>129</v>
      </c>
    </row>
    <row r="52" spans="1:10" s="32" customFormat="1" ht="56.25" outlineLevel="2">
      <c r="A52" s="47">
        <v>4</v>
      </c>
      <c r="B52" s="42" t="s">
        <v>130</v>
      </c>
      <c r="C52" s="43" t="s">
        <v>121</v>
      </c>
      <c r="D52" s="44">
        <v>6</v>
      </c>
      <c r="E52" s="44">
        <v>0</v>
      </c>
      <c r="F52" s="44">
        <v>0</v>
      </c>
      <c r="G52" s="44">
        <v>0</v>
      </c>
      <c r="H52" s="44">
        <f t="shared" ref="H52:H56" si="6">E52+F52+G52</f>
        <v>0</v>
      </c>
      <c r="I52" s="44">
        <f t="shared" si="5"/>
        <v>0</v>
      </c>
      <c r="J52" s="42" t="s">
        <v>131</v>
      </c>
    </row>
    <row r="53" spans="1:10" s="31" customFormat="1" outlineLevel="1">
      <c r="A53" s="37"/>
      <c r="B53" s="42" t="s">
        <v>89</v>
      </c>
      <c r="C53" s="43"/>
      <c r="D53" s="44"/>
      <c r="E53" s="44"/>
      <c r="F53" s="44"/>
      <c r="G53" s="44"/>
      <c r="H53" s="44"/>
      <c r="I53" s="44"/>
      <c r="J53" s="42"/>
    </row>
    <row r="54" spans="1:10" s="33" customFormat="1" ht="67.5" outlineLevel="2">
      <c r="A54" s="47">
        <v>1</v>
      </c>
      <c r="B54" s="42" t="s">
        <v>90</v>
      </c>
      <c r="C54" s="47" t="s">
        <v>91</v>
      </c>
      <c r="D54" s="48">
        <f>(18.8-2.7-2.6)*2.2*2+2.6*0.3*2</f>
        <v>60.96</v>
      </c>
      <c r="E54" s="44">
        <v>0</v>
      </c>
      <c r="F54" s="44">
        <v>0</v>
      </c>
      <c r="G54" s="44">
        <v>0</v>
      </c>
      <c r="H54" s="44">
        <f t="shared" si="6"/>
        <v>0</v>
      </c>
      <c r="I54" s="44">
        <f t="shared" ref="I54:I56" si="7">H54*D54</f>
        <v>0</v>
      </c>
      <c r="J54" s="42" t="s">
        <v>92</v>
      </c>
    </row>
    <row r="55" spans="1:10" s="31" customFormat="1" ht="56.25" outlineLevel="2">
      <c r="A55" s="37">
        <v>2</v>
      </c>
      <c r="B55" s="42" t="s">
        <v>132</v>
      </c>
      <c r="C55" s="47" t="s">
        <v>91</v>
      </c>
      <c r="D55" s="48">
        <f>(18.8-2.7-2.6)*2.2*2+2.6*0.3*2</f>
        <v>60.96</v>
      </c>
      <c r="E55" s="44">
        <v>0</v>
      </c>
      <c r="F55" s="44">
        <v>0</v>
      </c>
      <c r="G55" s="44">
        <v>0</v>
      </c>
      <c r="H55" s="44">
        <f t="shared" si="6"/>
        <v>0</v>
      </c>
      <c r="I55" s="44">
        <f t="shared" si="7"/>
        <v>0</v>
      </c>
      <c r="J55" s="42" t="s">
        <v>133</v>
      </c>
    </row>
    <row r="56" spans="1:10" s="31" customFormat="1" ht="56.25" outlineLevel="2">
      <c r="A56" s="37">
        <v>3</v>
      </c>
      <c r="B56" s="42" t="s">
        <v>104</v>
      </c>
      <c r="C56" s="43" t="s">
        <v>105</v>
      </c>
      <c r="D56" s="44">
        <v>1</v>
      </c>
      <c r="E56" s="44">
        <v>0</v>
      </c>
      <c r="F56" s="44">
        <v>0</v>
      </c>
      <c r="G56" s="44">
        <v>0</v>
      </c>
      <c r="H56" s="44">
        <f t="shared" si="6"/>
        <v>0</v>
      </c>
      <c r="I56" s="44">
        <f t="shared" si="7"/>
        <v>0</v>
      </c>
      <c r="J56" s="42" t="s">
        <v>124</v>
      </c>
    </row>
    <row r="57" spans="1:10" s="31" customFormat="1" outlineLevel="1">
      <c r="A57" s="47"/>
      <c r="B57" s="42" t="s">
        <v>109</v>
      </c>
      <c r="C57" s="43"/>
      <c r="D57" s="44"/>
      <c r="E57" s="44"/>
      <c r="F57" s="44"/>
      <c r="G57" s="44"/>
      <c r="H57" s="44"/>
      <c r="I57" s="44"/>
      <c r="J57" s="42"/>
    </row>
    <row r="58" spans="1:10" s="31" customFormat="1" ht="45" outlineLevel="2">
      <c r="A58" s="47">
        <v>1</v>
      </c>
      <c r="B58" s="42" t="s">
        <v>134</v>
      </c>
      <c r="C58" s="47" t="s">
        <v>91</v>
      </c>
      <c r="D58" s="44">
        <f>10.64*2*1.2</f>
        <v>25.54</v>
      </c>
      <c r="E58" s="44">
        <v>0</v>
      </c>
      <c r="F58" s="44">
        <v>0</v>
      </c>
      <c r="G58" s="44">
        <v>0</v>
      </c>
      <c r="H58" s="44">
        <f>E58+F58+G58</f>
        <v>0</v>
      </c>
      <c r="I58" s="44">
        <f>H58*D58</f>
        <v>0</v>
      </c>
      <c r="J58" s="42" t="s">
        <v>135</v>
      </c>
    </row>
    <row r="59" spans="1:10" s="31" customFormat="1" ht="56.25" outlineLevel="2">
      <c r="A59" s="37">
        <v>2</v>
      </c>
      <c r="B59" s="42" t="s">
        <v>136</v>
      </c>
      <c r="C59" s="43" t="s">
        <v>80</v>
      </c>
      <c r="D59" s="44">
        <f>10.64*2</f>
        <v>21.28</v>
      </c>
      <c r="E59" s="44">
        <v>0</v>
      </c>
      <c r="F59" s="44">
        <v>0</v>
      </c>
      <c r="G59" s="44">
        <v>0</v>
      </c>
      <c r="H59" s="44">
        <f>E59+F59+G59</f>
        <v>0</v>
      </c>
      <c r="I59" s="44">
        <f>H59*D59</f>
        <v>0</v>
      </c>
      <c r="J59" s="42" t="s">
        <v>137</v>
      </c>
    </row>
    <row r="60" spans="1:10" s="33" customFormat="1" ht="36.950000000000003" customHeight="1" outlineLevel="2">
      <c r="A60" s="47">
        <v>3</v>
      </c>
      <c r="B60" s="42" t="s">
        <v>138</v>
      </c>
      <c r="C60" s="47" t="s">
        <v>121</v>
      </c>
      <c r="D60" s="48">
        <v>4</v>
      </c>
      <c r="E60" s="44">
        <v>0</v>
      </c>
      <c r="F60" s="44">
        <v>0</v>
      </c>
      <c r="G60" s="44">
        <v>0</v>
      </c>
      <c r="H60" s="44">
        <f t="shared" ref="H60:H66" si="8">G60+F60+E60</f>
        <v>0</v>
      </c>
      <c r="I60" s="44">
        <f>H60*D60</f>
        <v>0</v>
      </c>
      <c r="J60" s="42" t="s">
        <v>139</v>
      </c>
    </row>
    <row r="61" spans="1:10" s="31" customFormat="1" outlineLevel="1">
      <c r="A61" s="37"/>
      <c r="B61" s="42" t="s">
        <v>140</v>
      </c>
      <c r="C61" s="43"/>
      <c r="D61" s="44"/>
      <c r="E61" s="44"/>
      <c r="F61" s="44"/>
      <c r="G61" s="44"/>
      <c r="H61" s="44"/>
      <c r="I61" s="44"/>
      <c r="J61" s="42"/>
    </row>
    <row r="62" spans="1:10" s="33" customFormat="1" ht="41.1" customHeight="1" outlineLevel="2">
      <c r="A62" s="47">
        <v>1</v>
      </c>
      <c r="B62" s="42" t="s">
        <v>141</v>
      </c>
      <c r="C62" s="47" t="s">
        <v>121</v>
      </c>
      <c r="D62" s="48">
        <v>2</v>
      </c>
      <c r="E62" s="44">
        <v>0</v>
      </c>
      <c r="F62" s="44">
        <v>0</v>
      </c>
      <c r="G62" s="44">
        <v>0</v>
      </c>
      <c r="H62" s="44">
        <f t="shared" si="8"/>
        <v>0</v>
      </c>
      <c r="I62" s="44">
        <f t="shared" ref="I62:I66" si="9">H62*D62</f>
        <v>0</v>
      </c>
      <c r="J62" s="42" t="s">
        <v>142</v>
      </c>
    </row>
    <row r="63" spans="1:10" s="33" customFormat="1" ht="21.95" customHeight="1" outlineLevel="2">
      <c r="A63" s="37">
        <v>2</v>
      </c>
      <c r="B63" s="42" t="s">
        <v>143</v>
      </c>
      <c r="C63" s="47" t="s">
        <v>144</v>
      </c>
      <c r="D63" s="48">
        <v>2</v>
      </c>
      <c r="E63" s="44">
        <v>0</v>
      </c>
      <c r="F63" s="44">
        <v>0</v>
      </c>
      <c r="G63" s="44">
        <v>0</v>
      </c>
      <c r="H63" s="44">
        <f t="shared" si="8"/>
        <v>0</v>
      </c>
      <c r="I63" s="44">
        <f t="shared" si="9"/>
        <v>0</v>
      </c>
      <c r="J63" s="42" t="s">
        <v>145</v>
      </c>
    </row>
    <row r="64" spans="1:10" s="33" customFormat="1" ht="30" customHeight="1" outlineLevel="2">
      <c r="A64" s="47">
        <v>3</v>
      </c>
      <c r="B64" s="42" t="s">
        <v>146</v>
      </c>
      <c r="C64" s="47" t="s">
        <v>121</v>
      </c>
      <c r="D64" s="48">
        <v>6</v>
      </c>
      <c r="E64" s="44">
        <v>0</v>
      </c>
      <c r="F64" s="44">
        <v>0</v>
      </c>
      <c r="G64" s="44">
        <v>0</v>
      </c>
      <c r="H64" s="44">
        <f t="shared" si="8"/>
        <v>0</v>
      </c>
      <c r="I64" s="44">
        <f t="shared" si="9"/>
        <v>0</v>
      </c>
      <c r="J64" s="42" t="s">
        <v>147</v>
      </c>
    </row>
    <row r="65" spans="1:10" s="33" customFormat="1" ht="30.95" customHeight="1" outlineLevel="2">
      <c r="A65" s="37">
        <v>4</v>
      </c>
      <c r="B65" s="42" t="s">
        <v>148</v>
      </c>
      <c r="C65" s="47" t="s">
        <v>121</v>
      </c>
      <c r="D65" s="48">
        <v>6</v>
      </c>
      <c r="E65" s="44">
        <v>0</v>
      </c>
      <c r="F65" s="44">
        <v>0</v>
      </c>
      <c r="G65" s="44">
        <v>0</v>
      </c>
      <c r="H65" s="44">
        <f t="shared" si="8"/>
        <v>0</v>
      </c>
      <c r="I65" s="44">
        <f t="shared" si="9"/>
        <v>0</v>
      </c>
      <c r="J65" s="42" t="s">
        <v>149</v>
      </c>
    </row>
    <row r="66" spans="1:10" s="33" customFormat="1" ht="30.95" customHeight="1" outlineLevel="2">
      <c r="A66" s="47">
        <v>5</v>
      </c>
      <c r="B66" s="42" t="s">
        <v>150</v>
      </c>
      <c r="C66" s="47" t="s">
        <v>121</v>
      </c>
      <c r="D66" s="48">
        <v>6</v>
      </c>
      <c r="E66" s="44">
        <v>0</v>
      </c>
      <c r="F66" s="44">
        <v>0</v>
      </c>
      <c r="G66" s="44">
        <v>0</v>
      </c>
      <c r="H66" s="44">
        <f t="shared" si="8"/>
        <v>0</v>
      </c>
      <c r="I66" s="44">
        <f t="shared" si="9"/>
        <v>0</v>
      </c>
      <c r="J66" s="42" t="s">
        <v>151</v>
      </c>
    </row>
    <row r="67" spans="1:10" s="33" customFormat="1" ht="30.95" customHeight="1" outlineLevel="2">
      <c r="A67" s="37"/>
      <c r="B67" s="42" t="s">
        <v>115</v>
      </c>
      <c r="C67" s="47"/>
      <c r="D67" s="48"/>
      <c r="E67" s="44"/>
      <c r="F67" s="44"/>
      <c r="G67" s="44"/>
      <c r="H67" s="44"/>
      <c r="I67" s="44">
        <f>SUM(I49:I66)</f>
        <v>0</v>
      </c>
      <c r="J67" s="42"/>
    </row>
    <row r="68" spans="1:10" s="30" customFormat="1">
      <c r="A68" s="47" t="s">
        <v>40</v>
      </c>
      <c r="B68" s="39" t="s">
        <v>21</v>
      </c>
      <c r="C68" s="38"/>
      <c r="D68" s="40"/>
      <c r="E68" s="40"/>
      <c r="F68" s="40"/>
      <c r="G68" s="40"/>
      <c r="H68" s="40"/>
      <c r="I68" s="40"/>
      <c r="J68" s="39"/>
    </row>
    <row r="69" spans="1:10" s="31" customFormat="1" outlineLevel="1">
      <c r="A69" s="37"/>
      <c r="B69" s="42" t="s">
        <v>78</v>
      </c>
      <c r="C69" s="43"/>
      <c r="D69" s="44"/>
      <c r="E69" s="44"/>
      <c r="F69" s="44"/>
      <c r="G69" s="44"/>
      <c r="H69" s="44"/>
      <c r="I69" s="44"/>
      <c r="J69" s="42"/>
    </row>
    <row r="70" spans="1:10" s="31" customFormat="1" ht="67.5" outlineLevel="2">
      <c r="A70" s="47">
        <v>1</v>
      </c>
      <c r="B70" s="42" t="s">
        <v>79</v>
      </c>
      <c r="C70" s="43" t="s">
        <v>80</v>
      </c>
      <c r="D70" s="44">
        <v>35.65</v>
      </c>
      <c r="E70" s="44">
        <v>0</v>
      </c>
      <c r="F70" s="44">
        <v>0</v>
      </c>
      <c r="G70" s="44">
        <v>0</v>
      </c>
      <c r="H70" s="44">
        <f t="shared" ref="H70:H72" si="10">E70+F70+G70</f>
        <v>0</v>
      </c>
      <c r="I70" s="44">
        <f t="shared" ref="I70:I73" si="11">H70*D70</f>
        <v>0</v>
      </c>
      <c r="J70" s="42" t="s">
        <v>81</v>
      </c>
    </row>
    <row r="71" spans="1:10" s="31" customFormat="1" ht="67.5" outlineLevel="2">
      <c r="A71" s="37">
        <v>2</v>
      </c>
      <c r="B71" s="42" t="s">
        <v>152</v>
      </c>
      <c r="C71" s="43" t="s">
        <v>80</v>
      </c>
      <c r="D71" s="44">
        <v>35.65</v>
      </c>
      <c r="E71" s="44">
        <v>0</v>
      </c>
      <c r="F71" s="44">
        <v>0</v>
      </c>
      <c r="G71" s="44">
        <v>0</v>
      </c>
      <c r="H71" s="44">
        <f t="shared" si="10"/>
        <v>0</v>
      </c>
      <c r="I71" s="44">
        <f t="shared" si="11"/>
        <v>0</v>
      </c>
      <c r="J71" s="42" t="s">
        <v>153</v>
      </c>
    </row>
    <row r="72" spans="1:10" s="31" customFormat="1" ht="56.25" outlineLevel="2">
      <c r="A72" s="47">
        <v>3</v>
      </c>
      <c r="B72" s="42" t="s">
        <v>84</v>
      </c>
      <c r="C72" s="43" t="s">
        <v>85</v>
      </c>
      <c r="D72" s="44">
        <v>27.57</v>
      </c>
      <c r="E72" s="44">
        <v>0</v>
      </c>
      <c r="F72" s="44">
        <v>0</v>
      </c>
      <c r="G72" s="44">
        <v>0</v>
      </c>
      <c r="H72" s="44">
        <f t="shared" si="10"/>
        <v>0</v>
      </c>
      <c r="I72" s="44">
        <f t="shared" si="11"/>
        <v>0</v>
      </c>
      <c r="J72" s="42" t="s">
        <v>129</v>
      </c>
    </row>
    <row r="73" spans="1:10" s="32" customFormat="1" ht="56.25" outlineLevel="2">
      <c r="A73" s="37">
        <v>4</v>
      </c>
      <c r="B73" s="42" t="s">
        <v>120</v>
      </c>
      <c r="C73" s="43" t="s">
        <v>121</v>
      </c>
      <c r="D73" s="44">
        <v>1</v>
      </c>
      <c r="E73" s="44">
        <v>0</v>
      </c>
      <c r="F73" s="44">
        <v>0</v>
      </c>
      <c r="G73" s="44">
        <v>0</v>
      </c>
      <c r="H73" s="44">
        <f>E73+F73+G73</f>
        <v>0</v>
      </c>
      <c r="I73" s="44">
        <f t="shared" si="11"/>
        <v>0</v>
      </c>
      <c r="J73" s="42" t="s">
        <v>88</v>
      </c>
    </row>
    <row r="74" spans="1:10" s="31" customFormat="1" outlineLevel="1">
      <c r="A74" s="47"/>
      <c r="B74" s="42" t="s">
        <v>89</v>
      </c>
      <c r="C74" s="43"/>
      <c r="D74" s="44"/>
      <c r="E74" s="44"/>
      <c r="F74" s="44"/>
      <c r="G74" s="44"/>
      <c r="H74" s="44"/>
      <c r="I74" s="44"/>
      <c r="J74" s="42"/>
    </row>
    <row r="75" spans="1:10" s="33" customFormat="1" ht="67.5" outlineLevel="2">
      <c r="A75" s="37">
        <v>1</v>
      </c>
      <c r="B75" s="42" t="s">
        <v>90</v>
      </c>
      <c r="C75" s="47" t="s">
        <v>91</v>
      </c>
      <c r="D75" s="48">
        <f>(27.57-1.4-0.8-1.6)*2.4</f>
        <v>57.05</v>
      </c>
      <c r="E75" s="44">
        <v>0</v>
      </c>
      <c r="F75" s="44">
        <v>0</v>
      </c>
      <c r="G75" s="44">
        <v>0</v>
      </c>
      <c r="H75" s="44">
        <f>E75+F75+G75</f>
        <v>0</v>
      </c>
      <c r="I75" s="44">
        <f>H75*D75</f>
        <v>0</v>
      </c>
      <c r="J75" s="42" t="s">
        <v>92</v>
      </c>
    </row>
    <row r="76" spans="1:10" s="31" customFormat="1" ht="146.25" outlineLevel="2">
      <c r="A76" s="47">
        <v>2</v>
      </c>
      <c r="B76" s="42" t="s">
        <v>154</v>
      </c>
      <c r="C76" s="47" t="s">
        <v>91</v>
      </c>
      <c r="D76" s="48">
        <f>(27.57-1.4-0.8-1.6)*2.4</f>
        <v>57.05</v>
      </c>
      <c r="E76" s="44">
        <v>0</v>
      </c>
      <c r="F76" s="44">
        <v>0</v>
      </c>
      <c r="G76" s="44">
        <v>0</v>
      </c>
      <c r="H76" s="44">
        <f>E76+F76+G76</f>
        <v>0</v>
      </c>
      <c r="I76" s="44">
        <f>H76*D76</f>
        <v>0</v>
      </c>
      <c r="J76" s="42" t="s">
        <v>155</v>
      </c>
    </row>
    <row r="77" spans="1:10" s="31" customFormat="1" ht="56.25" outlineLevel="2">
      <c r="A77" s="37">
        <v>3</v>
      </c>
      <c r="B77" s="42" t="s">
        <v>156</v>
      </c>
      <c r="C77" s="43" t="s">
        <v>105</v>
      </c>
      <c r="D77" s="44">
        <v>4</v>
      </c>
      <c r="E77" s="44">
        <v>0</v>
      </c>
      <c r="F77" s="44">
        <v>0</v>
      </c>
      <c r="G77" s="44">
        <v>0</v>
      </c>
      <c r="H77" s="44">
        <f>E77+F77+G77</f>
        <v>0</v>
      </c>
      <c r="I77" s="44">
        <f>H77*D77</f>
        <v>0</v>
      </c>
      <c r="J77" s="42" t="s">
        <v>157</v>
      </c>
    </row>
    <row r="78" spans="1:10" s="31" customFormat="1" outlineLevel="1">
      <c r="A78" s="47"/>
      <c r="B78" s="42" t="s">
        <v>109</v>
      </c>
      <c r="C78" s="43"/>
      <c r="D78" s="44"/>
      <c r="E78" s="44"/>
      <c r="F78" s="44"/>
      <c r="G78" s="44"/>
      <c r="H78" s="44"/>
      <c r="I78" s="44"/>
      <c r="J78" s="42"/>
    </row>
    <row r="79" spans="1:10" s="31" customFormat="1" ht="56.25" outlineLevel="2">
      <c r="A79" s="37">
        <v>1</v>
      </c>
      <c r="B79" s="42" t="s">
        <v>158</v>
      </c>
      <c r="C79" s="43" t="s">
        <v>80</v>
      </c>
      <c r="D79" s="44">
        <v>35.65</v>
      </c>
      <c r="E79" s="44">
        <v>0</v>
      </c>
      <c r="F79" s="44">
        <v>0</v>
      </c>
      <c r="G79" s="44">
        <v>0</v>
      </c>
      <c r="H79" s="44">
        <f>E79+F79+G79</f>
        <v>0</v>
      </c>
      <c r="I79" s="44">
        <f>H79*D79</f>
        <v>0</v>
      </c>
      <c r="J79" s="42" t="s">
        <v>159</v>
      </c>
    </row>
    <row r="80" spans="1:10" s="33" customFormat="1" ht="19.899999999999999" customHeight="1" outlineLevel="2">
      <c r="A80" s="47"/>
      <c r="B80" s="42" t="s">
        <v>115</v>
      </c>
      <c r="C80" s="47"/>
      <c r="D80" s="48"/>
      <c r="E80" s="44"/>
      <c r="F80" s="44"/>
      <c r="G80" s="44"/>
      <c r="H80" s="44"/>
      <c r="I80" s="44">
        <f>SUM(I70:I79)</f>
        <v>0</v>
      </c>
      <c r="J80" s="42"/>
    </row>
    <row r="81" spans="1:10" s="30" customFormat="1">
      <c r="A81" s="37" t="s">
        <v>160</v>
      </c>
      <c r="B81" s="39" t="s">
        <v>22</v>
      </c>
      <c r="C81" s="38"/>
      <c r="D81" s="40"/>
      <c r="E81" s="40"/>
      <c r="F81" s="40"/>
      <c r="G81" s="40"/>
      <c r="H81" s="40"/>
      <c r="I81" s="40"/>
      <c r="J81" s="39"/>
    </row>
    <row r="82" spans="1:10" s="31" customFormat="1" outlineLevel="1">
      <c r="A82" s="47"/>
      <c r="B82" s="42" t="s">
        <v>78</v>
      </c>
      <c r="C82" s="43"/>
      <c r="D82" s="44"/>
      <c r="E82" s="44"/>
      <c r="F82" s="44"/>
      <c r="G82" s="44"/>
      <c r="H82" s="44"/>
      <c r="I82" s="44"/>
      <c r="J82" s="42"/>
    </row>
    <row r="83" spans="1:10" s="31" customFormat="1" ht="67.5" outlineLevel="2">
      <c r="A83" s="37">
        <v>1</v>
      </c>
      <c r="B83" s="42" t="s">
        <v>79</v>
      </c>
      <c r="C83" s="43" t="s">
        <v>80</v>
      </c>
      <c r="D83" s="44">
        <v>27.91</v>
      </c>
      <c r="E83" s="44">
        <v>0</v>
      </c>
      <c r="F83" s="44">
        <v>0</v>
      </c>
      <c r="G83" s="44">
        <v>0</v>
      </c>
      <c r="H83" s="44">
        <f t="shared" ref="H83:H86" si="12">E83+F83+G83</f>
        <v>0</v>
      </c>
      <c r="I83" s="44">
        <f t="shared" ref="I83:I86" si="13">H83*D83</f>
        <v>0</v>
      </c>
      <c r="J83" s="42" t="s">
        <v>81</v>
      </c>
    </row>
    <row r="84" spans="1:10" s="31" customFormat="1" ht="67.5" outlineLevel="2">
      <c r="A84" s="47">
        <v>2</v>
      </c>
      <c r="B84" s="42" t="s">
        <v>152</v>
      </c>
      <c r="C84" s="43" t="s">
        <v>80</v>
      </c>
      <c r="D84" s="44">
        <v>27.91</v>
      </c>
      <c r="E84" s="44">
        <v>0</v>
      </c>
      <c r="F84" s="44">
        <v>0</v>
      </c>
      <c r="G84" s="44">
        <v>0</v>
      </c>
      <c r="H84" s="44">
        <f t="shared" si="12"/>
        <v>0</v>
      </c>
      <c r="I84" s="44">
        <f t="shared" si="13"/>
        <v>0</v>
      </c>
      <c r="J84" s="42" t="s">
        <v>153</v>
      </c>
    </row>
    <row r="85" spans="1:10" s="31" customFormat="1" ht="56.25" outlineLevel="2">
      <c r="A85" s="37">
        <v>3</v>
      </c>
      <c r="B85" s="42" t="s">
        <v>84</v>
      </c>
      <c r="C85" s="43" t="s">
        <v>85</v>
      </c>
      <c r="D85" s="44">
        <v>25.04</v>
      </c>
      <c r="E85" s="44">
        <v>0</v>
      </c>
      <c r="F85" s="44">
        <v>0</v>
      </c>
      <c r="G85" s="44">
        <v>0</v>
      </c>
      <c r="H85" s="44">
        <f t="shared" si="12"/>
        <v>0</v>
      </c>
      <c r="I85" s="44">
        <f t="shared" si="13"/>
        <v>0</v>
      </c>
      <c r="J85" s="42" t="s">
        <v>129</v>
      </c>
    </row>
    <row r="86" spans="1:10" s="32" customFormat="1" ht="56.25" outlineLevel="2">
      <c r="A86" s="47">
        <v>4</v>
      </c>
      <c r="B86" s="42" t="s">
        <v>120</v>
      </c>
      <c r="C86" s="43" t="s">
        <v>121</v>
      </c>
      <c r="D86" s="44">
        <v>1</v>
      </c>
      <c r="E86" s="44">
        <v>0</v>
      </c>
      <c r="F86" s="44">
        <v>0</v>
      </c>
      <c r="G86" s="44">
        <v>0</v>
      </c>
      <c r="H86" s="44">
        <f t="shared" si="12"/>
        <v>0</v>
      </c>
      <c r="I86" s="44">
        <f t="shared" si="13"/>
        <v>0</v>
      </c>
      <c r="J86" s="42" t="s">
        <v>88</v>
      </c>
    </row>
    <row r="87" spans="1:10" s="31" customFormat="1" outlineLevel="1">
      <c r="A87" s="37"/>
      <c r="B87" s="42" t="s">
        <v>89</v>
      </c>
      <c r="C87" s="43"/>
      <c r="D87" s="44"/>
      <c r="E87" s="44"/>
      <c r="F87" s="44"/>
      <c r="G87" s="44"/>
      <c r="H87" s="44"/>
      <c r="I87" s="44"/>
      <c r="J87" s="42"/>
    </row>
    <row r="88" spans="1:10" s="33" customFormat="1" ht="67.5" outlineLevel="2">
      <c r="A88" s="47">
        <v>1</v>
      </c>
      <c r="B88" s="42" t="s">
        <v>90</v>
      </c>
      <c r="C88" s="47" t="s">
        <v>91</v>
      </c>
      <c r="D88" s="48">
        <f>(25.04-1.4-0.8-1.6)*2.4</f>
        <v>50.98</v>
      </c>
      <c r="E88" s="44">
        <v>0</v>
      </c>
      <c r="F88" s="44">
        <v>0</v>
      </c>
      <c r="G88" s="44">
        <v>0</v>
      </c>
      <c r="H88" s="44">
        <f>E88+F88+G88</f>
        <v>0</v>
      </c>
      <c r="I88" s="44">
        <f>H88*D88</f>
        <v>0</v>
      </c>
      <c r="J88" s="42" t="s">
        <v>92</v>
      </c>
    </row>
    <row r="89" spans="1:10" s="31" customFormat="1" ht="146.25" outlineLevel="2">
      <c r="A89" s="37">
        <v>2</v>
      </c>
      <c r="B89" s="42" t="s">
        <v>154</v>
      </c>
      <c r="C89" s="47" t="s">
        <v>91</v>
      </c>
      <c r="D89" s="48">
        <f>(25.04-1.4-0.8-1.6)*2.4</f>
        <v>50.98</v>
      </c>
      <c r="E89" s="44">
        <v>0</v>
      </c>
      <c r="F89" s="44">
        <v>0</v>
      </c>
      <c r="G89" s="44">
        <v>0</v>
      </c>
      <c r="H89" s="44">
        <f>E89+F89+G89</f>
        <v>0</v>
      </c>
      <c r="I89" s="44">
        <f>H89*D89</f>
        <v>0</v>
      </c>
      <c r="J89" s="42" t="s">
        <v>155</v>
      </c>
    </row>
    <row r="90" spans="1:10" s="31" customFormat="1" ht="56.25" outlineLevel="2">
      <c r="A90" s="47">
        <v>3</v>
      </c>
      <c r="B90" s="42" t="s">
        <v>156</v>
      </c>
      <c r="C90" s="43" t="s">
        <v>105</v>
      </c>
      <c r="D90" s="44">
        <v>4</v>
      </c>
      <c r="E90" s="44">
        <v>0</v>
      </c>
      <c r="F90" s="44">
        <v>0</v>
      </c>
      <c r="G90" s="44">
        <v>0</v>
      </c>
      <c r="H90" s="44">
        <f>E90+F90+G90</f>
        <v>0</v>
      </c>
      <c r="I90" s="44">
        <f>H90*D90</f>
        <v>0</v>
      </c>
      <c r="J90" s="42" t="s">
        <v>157</v>
      </c>
    </row>
    <row r="91" spans="1:10" s="31" customFormat="1" outlineLevel="1">
      <c r="A91" s="37"/>
      <c r="B91" s="42" t="s">
        <v>109</v>
      </c>
      <c r="C91" s="43"/>
      <c r="D91" s="44"/>
      <c r="E91" s="44"/>
      <c r="F91" s="44"/>
      <c r="G91" s="44"/>
      <c r="H91" s="44"/>
      <c r="I91" s="44"/>
      <c r="J91" s="42"/>
    </row>
    <row r="92" spans="1:10" s="31" customFormat="1" ht="56.25" outlineLevel="2">
      <c r="A92" s="47">
        <v>1</v>
      </c>
      <c r="B92" s="42" t="s">
        <v>158</v>
      </c>
      <c r="C92" s="43" t="s">
        <v>80</v>
      </c>
      <c r="D92" s="44">
        <v>27.91</v>
      </c>
      <c r="E92" s="44">
        <v>0</v>
      </c>
      <c r="F92" s="44">
        <v>0</v>
      </c>
      <c r="G92" s="44">
        <v>0</v>
      </c>
      <c r="H92" s="44">
        <f>E92+F92+G92</f>
        <v>0</v>
      </c>
      <c r="I92" s="44">
        <f>H92*D92</f>
        <v>0</v>
      </c>
      <c r="J92" s="42" t="s">
        <v>159</v>
      </c>
    </row>
    <row r="93" spans="1:10" s="33" customFormat="1" ht="19.899999999999999" customHeight="1" outlineLevel="2">
      <c r="A93" s="37"/>
      <c r="B93" s="42" t="s">
        <v>115</v>
      </c>
      <c r="C93" s="47"/>
      <c r="D93" s="48"/>
      <c r="E93" s="44"/>
      <c r="F93" s="44"/>
      <c r="G93" s="44"/>
      <c r="H93" s="44"/>
      <c r="I93" s="44">
        <f>SUM(I83:I92)</f>
        <v>0</v>
      </c>
      <c r="J93" s="42"/>
    </row>
    <row r="94" spans="1:10" s="30" customFormat="1">
      <c r="A94" s="47" t="s">
        <v>161</v>
      </c>
      <c r="B94" s="39" t="s">
        <v>162</v>
      </c>
      <c r="C94" s="38"/>
      <c r="D94" s="40"/>
      <c r="E94" s="40"/>
      <c r="F94" s="40"/>
      <c r="G94" s="40"/>
      <c r="H94" s="40"/>
      <c r="I94" s="40"/>
      <c r="J94" s="39"/>
    </row>
    <row r="95" spans="1:10" s="31" customFormat="1" outlineLevel="1">
      <c r="A95" s="37"/>
      <c r="B95" s="42" t="s">
        <v>78</v>
      </c>
      <c r="C95" s="43"/>
      <c r="D95" s="44"/>
      <c r="E95" s="44"/>
      <c r="F95" s="44"/>
      <c r="G95" s="44"/>
      <c r="H95" s="44"/>
      <c r="I95" s="44"/>
      <c r="J95" s="42"/>
    </row>
    <row r="96" spans="1:10" s="31" customFormat="1" ht="63" customHeight="1" outlineLevel="2">
      <c r="A96" s="47">
        <v>1</v>
      </c>
      <c r="B96" s="42" t="s">
        <v>79</v>
      </c>
      <c r="C96" s="43" t="s">
        <v>80</v>
      </c>
      <c r="D96" s="44">
        <f>573.86-67.05</f>
        <v>506.81</v>
      </c>
      <c r="E96" s="44">
        <v>0</v>
      </c>
      <c r="F96" s="44">
        <v>0</v>
      </c>
      <c r="G96" s="44">
        <v>0</v>
      </c>
      <c r="H96" s="44">
        <f>E96+F96+G96</f>
        <v>0</v>
      </c>
      <c r="I96" s="44">
        <f>H96*D96</f>
        <v>0</v>
      </c>
      <c r="J96" s="42" t="s">
        <v>81</v>
      </c>
    </row>
    <row r="97" spans="1:10" s="31" customFormat="1" ht="67.5" outlineLevel="2">
      <c r="A97" s="37">
        <v>2</v>
      </c>
      <c r="B97" s="42" t="s">
        <v>82</v>
      </c>
      <c r="C97" s="43" t="s">
        <v>80</v>
      </c>
      <c r="D97" s="44">
        <f>573.86-67.05+27.84+2.7</f>
        <v>537.35</v>
      </c>
      <c r="E97" s="44">
        <v>0</v>
      </c>
      <c r="F97" s="44">
        <v>0</v>
      </c>
      <c r="G97" s="44">
        <v>0</v>
      </c>
      <c r="H97" s="44">
        <f>E97+F97+G97</f>
        <v>0</v>
      </c>
      <c r="I97" s="44">
        <f>H97*D97</f>
        <v>0</v>
      </c>
      <c r="J97" s="42" t="s">
        <v>83</v>
      </c>
    </row>
    <row r="98" spans="1:10" s="31" customFormat="1" ht="56.25" outlineLevel="2">
      <c r="A98" s="47">
        <v>3</v>
      </c>
      <c r="B98" s="42" t="s">
        <v>84</v>
      </c>
      <c r="C98" s="43" t="s">
        <v>85</v>
      </c>
      <c r="D98" s="44">
        <v>117.18</v>
      </c>
      <c r="E98" s="44">
        <v>0</v>
      </c>
      <c r="F98" s="44">
        <v>0</v>
      </c>
      <c r="G98" s="44">
        <v>0</v>
      </c>
      <c r="H98" s="44">
        <f>E98+F98+G98</f>
        <v>0</v>
      </c>
      <c r="I98" s="44">
        <f>H98*D98</f>
        <v>0</v>
      </c>
      <c r="J98" s="42" t="s">
        <v>86</v>
      </c>
    </row>
    <row r="99" spans="1:10" s="31" customFormat="1" ht="56.25" outlineLevel="2">
      <c r="A99" s="37">
        <v>4</v>
      </c>
      <c r="B99" s="42" t="s">
        <v>163</v>
      </c>
      <c r="C99" s="43" t="s">
        <v>85</v>
      </c>
      <c r="D99" s="44">
        <f>2.85*16</f>
        <v>45.6</v>
      </c>
      <c r="E99" s="44">
        <v>0</v>
      </c>
      <c r="F99" s="44">
        <v>0</v>
      </c>
      <c r="G99" s="44">
        <v>0</v>
      </c>
      <c r="H99" s="44">
        <f>E99+F99+G99</f>
        <v>0</v>
      </c>
      <c r="I99" s="44">
        <f>H99*D99</f>
        <v>0</v>
      </c>
      <c r="J99" s="42" t="s">
        <v>164</v>
      </c>
    </row>
    <row r="100" spans="1:10" s="32" customFormat="1" ht="56.25" outlineLevel="2">
      <c r="A100" s="47">
        <v>5</v>
      </c>
      <c r="B100" s="42" t="s">
        <v>87</v>
      </c>
      <c r="C100" s="43" t="s">
        <v>85</v>
      </c>
      <c r="D100" s="44">
        <v>34.200000000000003</v>
      </c>
      <c r="E100" s="44">
        <v>0</v>
      </c>
      <c r="F100" s="44">
        <v>0</v>
      </c>
      <c r="G100" s="44">
        <v>0</v>
      </c>
      <c r="H100" s="44">
        <f>E100+F100+G100</f>
        <v>0</v>
      </c>
      <c r="I100" s="44">
        <f>H100*D100</f>
        <v>0</v>
      </c>
      <c r="J100" s="42" t="s">
        <v>88</v>
      </c>
    </row>
    <row r="101" spans="1:10" s="31" customFormat="1" outlineLevel="1">
      <c r="A101" s="37"/>
      <c r="B101" s="42" t="s">
        <v>89</v>
      </c>
      <c r="C101" s="43"/>
      <c r="D101" s="44"/>
      <c r="E101" s="44"/>
      <c r="F101" s="44"/>
      <c r="G101" s="44"/>
      <c r="H101" s="44"/>
      <c r="I101" s="44"/>
      <c r="J101" s="42"/>
    </row>
    <row r="102" spans="1:10" s="33" customFormat="1" ht="67.5" outlineLevel="2">
      <c r="A102" s="47">
        <v>1</v>
      </c>
      <c r="B102" s="42" t="s">
        <v>90</v>
      </c>
      <c r="C102" s="47" t="s">
        <v>91</v>
      </c>
      <c r="D102" s="48">
        <f>(104.7-3.2-1.6-2.6)*2.15-2.6*2*16</f>
        <v>126</v>
      </c>
      <c r="E102" s="44">
        <v>0</v>
      </c>
      <c r="F102" s="44">
        <v>0</v>
      </c>
      <c r="G102" s="44">
        <v>0</v>
      </c>
      <c r="H102" s="44">
        <f t="shared" ref="H102:H107" si="14">E102+F102+G102</f>
        <v>0</v>
      </c>
      <c r="I102" s="44">
        <f t="shared" ref="I102:I107" si="15">H102*D102</f>
        <v>0</v>
      </c>
      <c r="J102" s="42" t="s">
        <v>92</v>
      </c>
    </row>
    <row r="103" spans="1:10" s="31" customFormat="1" ht="67.5" outlineLevel="2">
      <c r="A103" s="37">
        <v>2</v>
      </c>
      <c r="B103" s="42" t="s">
        <v>93</v>
      </c>
      <c r="C103" s="47" t="s">
        <v>91</v>
      </c>
      <c r="D103" s="48">
        <f>(104.7-3.2-1.6-2.6)*2.15-2.6*2*16+0.8*2.15*16</f>
        <v>153.52000000000001</v>
      </c>
      <c r="E103" s="44">
        <v>0</v>
      </c>
      <c r="F103" s="44">
        <v>0</v>
      </c>
      <c r="G103" s="44">
        <v>0</v>
      </c>
      <c r="H103" s="44">
        <f t="shared" si="14"/>
        <v>0</v>
      </c>
      <c r="I103" s="44">
        <f t="shared" si="15"/>
        <v>0</v>
      </c>
      <c r="J103" s="42" t="s">
        <v>165</v>
      </c>
    </row>
    <row r="104" spans="1:10" s="31" customFormat="1" ht="67.5" outlineLevel="2">
      <c r="A104" s="47">
        <v>3</v>
      </c>
      <c r="B104" s="42" t="s">
        <v>95</v>
      </c>
      <c r="C104" s="47" t="s">
        <v>96</v>
      </c>
      <c r="D104" s="48">
        <v>6</v>
      </c>
      <c r="E104" s="44">
        <v>0</v>
      </c>
      <c r="F104" s="44">
        <v>0</v>
      </c>
      <c r="G104" s="44">
        <v>0</v>
      </c>
      <c r="H104" s="44">
        <f t="shared" si="14"/>
        <v>0</v>
      </c>
      <c r="I104" s="44">
        <f t="shared" si="15"/>
        <v>0</v>
      </c>
      <c r="J104" s="42" t="s">
        <v>166</v>
      </c>
    </row>
    <row r="105" spans="1:10" s="31" customFormat="1" ht="56.25" outlineLevel="2">
      <c r="A105" s="37">
        <v>4</v>
      </c>
      <c r="B105" s="42" t="s">
        <v>167</v>
      </c>
      <c r="C105" s="47" t="s">
        <v>91</v>
      </c>
      <c r="D105" s="44">
        <f>(0.53+0.53+2.4)*2*2.15</f>
        <v>14.88</v>
      </c>
      <c r="E105" s="44">
        <v>0</v>
      </c>
      <c r="F105" s="44">
        <v>0</v>
      </c>
      <c r="G105" s="44">
        <v>0</v>
      </c>
      <c r="H105" s="44">
        <f t="shared" si="14"/>
        <v>0</v>
      </c>
      <c r="I105" s="44">
        <f t="shared" si="15"/>
        <v>0</v>
      </c>
      <c r="J105" s="42" t="s">
        <v>99</v>
      </c>
    </row>
    <row r="106" spans="1:10" s="31" customFormat="1" ht="78.75" outlineLevel="2">
      <c r="A106" s="47">
        <v>5</v>
      </c>
      <c r="B106" s="42" t="s">
        <v>168</v>
      </c>
      <c r="C106" s="43" t="s">
        <v>85</v>
      </c>
      <c r="D106" s="44">
        <v>9.5</v>
      </c>
      <c r="E106" s="44">
        <v>0</v>
      </c>
      <c r="F106" s="44">
        <v>0</v>
      </c>
      <c r="G106" s="44">
        <v>0</v>
      </c>
      <c r="H106" s="44">
        <f t="shared" si="14"/>
        <v>0</v>
      </c>
      <c r="I106" s="44">
        <f t="shared" si="15"/>
        <v>0</v>
      </c>
      <c r="J106" s="42" t="s">
        <v>169</v>
      </c>
    </row>
    <row r="107" spans="1:10" s="31" customFormat="1" ht="56.25" outlineLevel="2">
      <c r="A107" s="37">
        <v>6</v>
      </c>
      <c r="B107" s="42" t="s">
        <v>104</v>
      </c>
      <c r="C107" s="43" t="s">
        <v>105</v>
      </c>
      <c r="D107" s="44">
        <v>4</v>
      </c>
      <c r="E107" s="44">
        <v>0</v>
      </c>
      <c r="F107" s="44">
        <v>0</v>
      </c>
      <c r="G107" s="44">
        <v>0</v>
      </c>
      <c r="H107" s="44">
        <f t="shared" si="14"/>
        <v>0</v>
      </c>
      <c r="I107" s="44">
        <f t="shared" si="15"/>
        <v>0</v>
      </c>
      <c r="J107" s="42" t="s">
        <v>106</v>
      </c>
    </row>
    <row r="108" spans="1:10" s="31" customFormat="1" outlineLevel="1">
      <c r="A108" s="46"/>
      <c r="B108" s="42" t="s">
        <v>109</v>
      </c>
      <c r="C108" s="43"/>
      <c r="D108" s="44"/>
      <c r="E108" s="44"/>
      <c r="F108" s="44"/>
      <c r="G108" s="44"/>
      <c r="H108" s="44"/>
      <c r="I108" s="44"/>
      <c r="J108" s="42"/>
    </row>
    <row r="109" spans="1:10" s="31" customFormat="1" ht="45" outlineLevel="2">
      <c r="A109" s="43">
        <v>1</v>
      </c>
      <c r="B109" s="42" t="s">
        <v>170</v>
      </c>
      <c r="C109" s="43" t="s">
        <v>80</v>
      </c>
      <c r="D109" s="44">
        <v>10.26</v>
      </c>
      <c r="E109" s="44">
        <v>0</v>
      </c>
      <c r="F109" s="44">
        <v>0</v>
      </c>
      <c r="G109" s="44">
        <v>0</v>
      </c>
      <c r="H109" s="44">
        <f>E109+F109+G109</f>
        <v>0</v>
      </c>
      <c r="I109" s="44">
        <f>H109*D109</f>
        <v>0</v>
      </c>
      <c r="J109" s="42" t="s">
        <v>171</v>
      </c>
    </row>
    <row r="110" spans="1:10" s="33" customFormat="1" ht="19.899999999999999" customHeight="1" outlineLevel="2">
      <c r="A110" s="49"/>
      <c r="B110" s="42" t="s">
        <v>115</v>
      </c>
      <c r="C110" s="47"/>
      <c r="D110" s="48"/>
      <c r="E110" s="44"/>
      <c r="F110" s="44"/>
      <c r="G110" s="44"/>
      <c r="H110" s="44"/>
      <c r="I110" s="44">
        <f>SUM(I96:I109)</f>
        <v>0</v>
      </c>
      <c r="J110" s="42"/>
    </row>
  </sheetData>
  <sheetProtection formatCells="0" formatColumns="0" formatRows="0" insertColumns="0" insertRows="0" insertHyperlinks="0" deleteColumns="0" deleteRows="0" sort="0" autoFilter="0" pivotTables="0"/>
  <autoFilter ref="A4:J110" xr:uid="{00000000-0009-0000-0000-000003000000}"/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3" type="noConversion"/>
  <printOptions horizontalCentered="1"/>
  <pageMargins left="0.39305555555555599" right="0.39305555555555599" top="0.39305555555555599" bottom="0.59027777777777801" header="0.39305555555555599" footer="0.39305555555555599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J97"/>
  <sheetViews>
    <sheetView view="pageBreakPreview" zoomScale="130" zoomScaleNormal="100" workbookViewId="0">
      <pane ySplit="4" topLeftCell="A95" activePane="bottomLeft" state="frozen"/>
      <selection pane="bottomLeft" activeCell="B102" sqref="B102"/>
    </sheetView>
  </sheetViews>
  <sheetFormatPr defaultColWidth="8.875" defaultRowHeight="12.75" outlineLevelRow="2"/>
  <cols>
    <col min="1" max="1" width="5.75" style="34" customWidth="1"/>
    <col min="2" max="2" width="19.625" style="35" customWidth="1"/>
    <col min="3" max="3" width="5" style="36" customWidth="1"/>
    <col min="4" max="8" width="8.875" style="36"/>
    <col min="9" max="9" width="9.5" style="36"/>
    <col min="10" max="10" width="27.375" style="36" customWidth="1"/>
    <col min="11" max="16384" width="8.875" style="36"/>
  </cols>
  <sheetData>
    <row r="1" spans="1:10" s="28" customFormat="1" ht="20.100000000000001" customHeight="1">
      <c r="A1" s="99" t="s">
        <v>66</v>
      </c>
      <c r="B1" s="100"/>
      <c r="C1" s="99"/>
      <c r="D1" s="101"/>
      <c r="E1" s="101"/>
      <c r="F1" s="101"/>
      <c r="G1" s="101"/>
      <c r="H1" s="101"/>
      <c r="I1" s="101"/>
      <c r="J1" s="99"/>
    </row>
    <row r="2" spans="1:10" s="29" customFormat="1" ht="15" customHeight="1">
      <c r="A2" s="102" t="s">
        <v>172</v>
      </c>
      <c r="B2" s="102"/>
      <c r="C2" s="102"/>
      <c r="D2" s="103"/>
      <c r="E2" s="104"/>
      <c r="F2" s="104"/>
      <c r="G2" s="104"/>
      <c r="H2" s="103"/>
      <c r="I2" s="103"/>
      <c r="J2" s="102"/>
    </row>
    <row r="3" spans="1:10" s="28" customFormat="1">
      <c r="A3" s="105"/>
      <c r="B3" s="107" t="s">
        <v>68</v>
      </c>
      <c r="C3" s="107" t="s">
        <v>69</v>
      </c>
      <c r="D3" s="104" t="s">
        <v>70</v>
      </c>
      <c r="E3" s="104" t="s">
        <v>71</v>
      </c>
      <c r="F3" s="110" t="s">
        <v>72</v>
      </c>
      <c r="G3" s="104" t="s">
        <v>73</v>
      </c>
      <c r="H3" s="112" t="s">
        <v>74</v>
      </c>
      <c r="I3" s="104" t="s">
        <v>75</v>
      </c>
      <c r="J3" s="113" t="s">
        <v>76</v>
      </c>
    </row>
    <row r="4" spans="1:10" s="28" customFormat="1">
      <c r="A4" s="106"/>
      <c r="B4" s="108"/>
      <c r="C4" s="108"/>
      <c r="D4" s="109"/>
      <c r="E4" s="109"/>
      <c r="F4" s="111"/>
      <c r="G4" s="109"/>
      <c r="H4" s="112"/>
      <c r="I4" s="104"/>
      <c r="J4" s="113"/>
    </row>
    <row r="5" spans="1:10" s="30" customFormat="1">
      <c r="A5" s="38" t="s">
        <v>14</v>
      </c>
      <c r="B5" s="39" t="s">
        <v>173</v>
      </c>
      <c r="C5" s="38"/>
      <c r="D5" s="40"/>
      <c r="E5" s="40"/>
      <c r="F5" s="40"/>
      <c r="G5" s="40"/>
      <c r="H5" s="40"/>
      <c r="I5" s="40"/>
      <c r="J5" s="39"/>
    </row>
    <row r="6" spans="1:10" s="31" customFormat="1" outlineLevel="1">
      <c r="A6" s="41"/>
      <c r="B6" s="42" t="s">
        <v>78</v>
      </c>
      <c r="C6" s="43"/>
      <c r="D6" s="44"/>
      <c r="E6" s="44"/>
      <c r="F6" s="44"/>
      <c r="G6" s="44"/>
      <c r="H6" s="44"/>
      <c r="I6" s="44"/>
      <c r="J6" s="42"/>
    </row>
    <row r="7" spans="1:10" s="31" customFormat="1" ht="63" customHeight="1" outlineLevel="2">
      <c r="A7" s="43">
        <v>1</v>
      </c>
      <c r="B7" s="42" t="s">
        <v>79</v>
      </c>
      <c r="C7" s="43" t="s">
        <v>80</v>
      </c>
      <c r="D7" s="44">
        <f>252.6+49-56.69+15.47</f>
        <v>260.38</v>
      </c>
      <c r="E7" s="44">
        <v>0</v>
      </c>
      <c r="F7" s="44">
        <v>0</v>
      </c>
      <c r="G7" s="44">
        <v>0</v>
      </c>
      <c r="H7" s="44">
        <f t="shared" ref="H7:H11" si="0">E7+F7+G7</f>
        <v>0</v>
      </c>
      <c r="I7" s="44">
        <f t="shared" ref="I7:I11" si="1">H7*D7</f>
        <v>0</v>
      </c>
      <c r="J7" s="42" t="s">
        <v>81</v>
      </c>
    </row>
    <row r="8" spans="1:10" s="31" customFormat="1" ht="67.5" outlineLevel="2">
      <c r="A8" s="43">
        <v>2</v>
      </c>
      <c r="B8" s="42" t="s">
        <v>174</v>
      </c>
      <c r="C8" s="43" t="s">
        <v>80</v>
      </c>
      <c r="D8" s="44">
        <f>15.58*2+5.98+13.61+(28.49*2*0.15+15.6*0.15)+15.47</f>
        <v>77.11</v>
      </c>
      <c r="E8" s="44">
        <v>0</v>
      </c>
      <c r="F8" s="44">
        <v>0</v>
      </c>
      <c r="G8" s="44">
        <v>0</v>
      </c>
      <c r="H8" s="44">
        <f t="shared" si="0"/>
        <v>0</v>
      </c>
      <c r="I8" s="44">
        <f t="shared" si="1"/>
        <v>0</v>
      </c>
      <c r="J8" s="42" t="s">
        <v>175</v>
      </c>
    </row>
    <row r="9" spans="1:10" s="31" customFormat="1" ht="67.5" outlineLevel="2">
      <c r="A9" s="43">
        <v>3</v>
      </c>
      <c r="B9" s="42" t="s">
        <v>82</v>
      </c>
      <c r="C9" s="43" t="s">
        <v>80</v>
      </c>
      <c r="D9" s="44">
        <f>252.6-15.58-5.98-13.61-15.58</f>
        <v>201.85</v>
      </c>
      <c r="E9" s="44">
        <v>0</v>
      </c>
      <c r="F9" s="44">
        <v>0</v>
      </c>
      <c r="G9" s="44">
        <v>0</v>
      </c>
      <c r="H9" s="44">
        <f t="shared" si="0"/>
        <v>0</v>
      </c>
      <c r="I9" s="44">
        <f t="shared" si="1"/>
        <v>0</v>
      </c>
      <c r="J9" s="42" t="s">
        <v>176</v>
      </c>
    </row>
    <row r="10" spans="1:10" s="31" customFormat="1" ht="56.25" outlineLevel="2">
      <c r="A10" s="43">
        <v>4</v>
      </c>
      <c r="B10" s="42" t="s">
        <v>84</v>
      </c>
      <c r="C10" s="43" t="s">
        <v>85</v>
      </c>
      <c r="D10" s="44">
        <v>117.78</v>
      </c>
      <c r="E10" s="44">
        <v>0</v>
      </c>
      <c r="F10" s="44">
        <v>0</v>
      </c>
      <c r="G10" s="44">
        <v>0</v>
      </c>
      <c r="H10" s="44">
        <f t="shared" si="0"/>
        <v>0</v>
      </c>
      <c r="I10" s="44">
        <f t="shared" si="1"/>
        <v>0</v>
      </c>
      <c r="J10" s="42" t="s">
        <v>86</v>
      </c>
    </row>
    <row r="11" spans="1:10" s="32" customFormat="1" ht="56.25" outlineLevel="2">
      <c r="A11" s="45">
        <v>5</v>
      </c>
      <c r="B11" s="42" t="s">
        <v>87</v>
      </c>
      <c r="C11" s="43" t="s">
        <v>85</v>
      </c>
      <c r="D11" s="44">
        <f>15.6+7</f>
        <v>22.6</v>
      </c>
      <c r="E11" s="44">
        <v>0</v>
      </c>
      <c r="F11" s="44">
        <v>0</v>
      </c>
      <c r="G11" s="44">
        <v>0</v>
      </c>
      <c r="H11" s="44">
        <f t="shared" si="0"/>
        <v>0</v>
      </c>
      <c r="I11" s="44">
        <f t="shared" si="1"/>
        <v>0</v>
      </c>
      <c r="J11" s="42" t="s">
        <v>88</v>
      </c>
    </row>
    <row r="12" spans="1:10" s="31" customFormat="1" outlineLevel="1">
      <c r="A12" s="46"/>
      <c r="B12" s="42" t="s">
        <v>89</v>
      </c>
      <c r="C12" s="43"/>
      <c r="D12" s="44"/>
      <c r="E12" s="44"/>
      <c r="F12" s="44"/>
      <c r="G12" s="44"/>
      <c r="H12" s="44"/>
      <c r="I12" s="44"/>
      <c r="J12" s="42"/>
    </row>
    <row r="13" spans="1:10" s="33" customFormat="1" ht="67.5" outlineLevel="2">
      <c r="A13" s="47">
        <v>1</v>
      </c>
      <c r="B13" s="42" t="s">
        <v>90</v>
      </c>
      <c r="C13" s="47" t="s">
        <v>91</v>
      </c>
      <c r="D13" s="48">
        <f>118.6*2.15-4*2.7*2-3.2*2.15-4*2.15-1.4*3*2.15-0.8*2*2.15</f>
        <v>205.44</v>
      </c>
      <c r="E13" s="44">
        <v>0</v>
      </c>
      <c r="F13" s="44">
        <v>0</v>
      </c>
      <c r="G13" s="44">
        <v>0</v>
      </c>
      <c r="H13" s="44">
        <f>E13+F13+G13</f>
        <v>0</v>
      </c>
      <c r="I13" s="44">
        <f>H13*D13</f>
        <v>0</v>
      </c>
      <c r="J13" s="42" t="s">
        <v>92</v>
      </c>
    </row>
    <row r="14" spans="1:10" s="31" customFormat="1" ht="67.5" outlineLevel="2">
      <c r="A14" s="37">
        <v>2</v>
      </c>
      <c r="B14" s="42" t="s">
        <v>93</v>
      </c>
      <c r="C14" s="47" t="s">
        <v>91</v>
      </c>
      <c r="D14" s="48">
        <f>118.6*2.15-4*2.7*2-3.2*2.15-4*2.15-1.4*3*2.15-0.8*2*2.15+21.5</f>
        <v>226.94</v>
      </c>
      <c r="E14" s="44">
        <v>0</v>
      </c>
      <c r="F14" s="44">
        <v>0</v>
      </c>
      <c r="G14" s="44">
        <v>0</v>
      </c>
      <c r="H14" s="44">
        <f>E14+F14+G14</f>
        <v>0</v>
      </c>
      <c r="I14" s="44">
        <f>H14*D14</f>
        <v>0</v>
      </c>
      <c r="J14" s="42" t="s">
        <v>165</v>
      </c>
    </row>
    <row r="15" spans="1:10" s="31" customFormat="1" ht="67.5" outlineLevel="2">
      <c r="A15" s="47">
        <v>3</v>
      </c>
      <c r="B15" s="42" t="s">
        <v>95</v>
      </c>
      <c r="C15" s="47" t="s">
        <v>91</v>
      </c>
      <c r="D15" s="48">
        <v>4</v>
      </c>
      <c r="E15" s="44">
        <v>0</v>
      </c>
      <c r="F15" s="44">
        <v>0</v>
      </c>
      <c r="G15" s="44">
        <v>0</v>
      </c>
      <c r="H15" s="44">
        <f>E15+F15+G15</f>
        <v>0</v>
      </c>
      <c r="I15" s="44">
        <f>H15*D15</f>
        <v>0</v>
      </c>
      <c r="J15" s="42" t="s">
        <v>166</v>
      </c>
    </row>
    <row r="16" spans="1:10" s="31" customFormat="1" ht="56.25" outlineLevel="2">
      <c r="A16" s="37">
        <v>4</v>
      </c>
      <c r="B16" s="42" t="s">
        <v>104</v>
      </c>
      <c r="C16" s="43" t="s">
        <v>105</v>
      </c>
      <c r="D16" s="44">
        <v>4</v>
      </c>
      <c r="E16" s="44">
        <v>0</v>
      </c>
      <c r="F16" s="44">
        <v>0</v>
      </c>
      <c r="G16" s="44">
        <v>0</v>
      </c>
      <c r="H16" s="44">
        <f>E16+F16+G16</f>
        <v>0</v>
      </c>
      <c r="I16" s="44">
        <f>H16*D16</f>
        <v>0</v>
      </c>
      <c r="J16" s="42" t="s">
        <v>106</v>
      </c>
    </row>
    <row r="17" spans="1:10" s="31" customFormat="1" ht="56.25" outlineLevel="2">
      <c r="A17" s="45">
        <v>5</v>
      </c>
      <c r="B17" s="42" t="s">
        <v>107</v>
      </c>
      <c r="C17" s="47" t="s">
        <v>91</v>
      </c>
      <c r="D17" s="44">
        <f>1.4*2.15*2</f>
        <v>6.02</v>
      </c>
      <c r="E17" s="44">
        <v>0</v>
      </c>
      <c r="F17" s="44">
        <v>0</v>
      </c>
      <c r="G17" s="44">
        <v>0</v>
      </c>
      <c r="H17" s="44">
        <f>E17+F17+G17</f>
        <v>0</v>
      </c>
      <c r="I17" s="44">
        <f>H17*D17</f>
        <v>0</v>
      </c>
      <c r="J17" s="42" t="s">
        <v>177</v>
      </c>
    </row>
    <row r="18" spans="1:10" s="31" customFormat="1" outlineLevel="1">
      <c r="A18" s="46"/>
      <c r="B18" s="42" t="s">
        <v>109</v>
      </c>
      <c r="C18" s="43"/>
      <c r="D18" s="44"/>
      <c r="E18" s="44"/>
      <c r="F18" s="44"/>
      <c r="G18" s="44"/>
      <c r="H18" s="44"/>
      <c r="I18" s="44"/>
      <c r="J18" s="42"/>
    </row>
    <row r="19" spans="1:10" s="31" customFormat="1" ht="45" outlineLevel="2">
      <c r="A19" s="43">
        <v>1</v>
      </c>
      <c r="B19" s="42" t="s">
        <v>136</v>
      </c>
      <c r="C19" s="43" t="s">
        <v>80</v>
      </c>
      <c r="D19" s="44">
        <f>252.6+49-56.69</f>
        <v>244.91</v>
      </c>
      <c r="E19" s="44">
        <v>0</v>
      </c>
      <c r="F19" s="44">
        <v>0</v>
      </c>
      <c r="G19" s="44">
        <v>0</v>
      </c>
      <c r="H19" s="44">
        <f>E19+F19+G19</f>
        <v>0</v>
      </c>
      <c r="I19" s="44">
        <f>H19*D19</f>
        <v>0</v>
      </c>
      <c r="J19" s="42" t="s">
        <v>111</v>
      </c>
    </row>
    <row r="20" spans="1:10" s="31" customFormat="1" ht="45" outlineLevel="2">
      <c r="A20" s="37">
        <v>2</v>
      </c>
      <c r="B20" s="42" t="s">
        <v>112</v>
      </c>
      <c r="C20" s="43" t="s">
        <v>80</v>
      </c>
      <c r="D20" s="44">
        <f>4.74+4.4+1.28*0.45*7*2</f>
        <v>17.2</v>
      </c>
      <c r="E20" s="44">
        <v>0</v>
      </c>
      <c r="F20" s="44">
        <v>0</v>
      </c>
      <c r="G20" s="44">
        <v>0</v>
      </c>
      <c r="H20" s="44">
        <f>E20+F20+G20</f>
        <v>0</v>
      </c>
      <c r="I20" s="44">
        <f>H20*D20</f>
        <v>0</v>
      </c>
      <c r="J20" s="42" t="s">
        <v>111</v>
      </c>
    </row>
    <row r="21" spans="1:10" s="31" customFormat="1" ht="45" outlineLevel="2">
      <c r="A21" s="37">
        <v>3</v>
      </c>
      <c r="B21" s="42" t="s">
        <v>113</v>
      </c>
      <c r="C21" s="43" t="s">
        <v>80</v>
      </c>
      <c r="D21" s="44">
        <f>2.34*0.65*2</f>
        <v>3.04</v>
      </c>
      <c r="E21" s="44">
        <v>0</v>
      </c>
      <c r="F21" s="44">
        <v>0</v>
      </c>
      <c r="G21" s="44">
        <v>0</v>
      </c>
      <c r="H21" s="44">
        <f>E21+F21+G21</f>
        <v>0</v>
      </c>
      <c r="I21" s="44">
        <f>H21*D21</f>
        <v>0</v>
      </c>
      <c r="J21" s="42" t="s">
        <v>114</v>
      </c>
    </row>
    <row r="22" spans="1:10" s="33" customFormat="1" ht="19.899999999999999" customHeight="1" outlineLevel="2">
      <c r="A22" s="49"/>
      <c r="B22" s="42" t="s">
        <v>115</v>
      </c>
      <c r="C22" s="47"/>
      <c r="D22" s="48"/>
      <c r="E22" s="44"/>
      <c r="F22" s="44"/>
      <c r="G22" s="44"/>
      <c r="H22" s="44"/>
      <c r="I22" s="44">
        <f>SUM(I7:I21)</f>
        <v>0</v>
      </c>
      <c r="J22" s="42"/>
    </row>
    <row r="23" spans="1:10" s="30" customFormat="1">
      <c r="A23" s="37" t="s">
        <v>25</v>
      </c>
      <c r="B23" s="39" t="s">
        <v>126</v>
      </c>
      <c r="C23" s="38"/>
      <c r="D23" s="40"/>
      <c r="E23" s="40"/>
      <c r="F23" s="40"/>
      <c r="G23" s="40"/>
      <c r="H23" s="40"/>
      <c r="I23" s="40"/>
      <c r="J23" s="39"/>
    </row>
    <row r="24" spans="1:10" s="31" customFormat="1" outlineLevel="1">
      <c r="A24" s="47"/>
      <c r="B24" s="42" t="s">
        <v>78</v>
      </c>
      <c r="C24" s="43"/>
      <c r="D24" s="44"/>
      <c r="E24" s="44"/>
      <c r="F24" s="44"/>
      <c r="G24" s="44"/>
      <c r="H24" s="44"/>
      <c r="I24" s="44"/>
      <c r="J24" s="42"/>
    </row>
    <row r="25" spans="1:10" s="31" customFormat="1" ht="67.5" outlineLevel="2">
      <c r="A25" s="37">
        <v>1</v>
      </c>
      <c r="B25" s="42" t="s">
        <v>79</v>
      </c>
      <c r="C25" s="43" t="s">
        <v>80</v>
      </c>
      <c r="D25" s="44">
        <f>10.12*2</f>
        <v>20.239999999999998</v>
      </c>
      <c r="E25" s="44">
        <v>0</v>
      </c>
      <c r="F25" s="44">
        <v>0</v>
      </c>
      <c r="G25" s="44">
        <v>0</v>
      </c>
      <c r="H25" s="44">
        <f t="shared" ref="H25:H28" si="2">E25+F25+G25</f>
        <v>0</v>
      </c>
      <c r="I25" s="44">
        <f t="shared" ref="I25:I28" si="3">H25*D25</f>
        <v>0</v>
      </c>
      <c r="J25" s="42" t="s">
        <v>81</v>
      </c>
    </row>
    <row r="26" spans="1:10" s="31" customFormat="1" ht="67.5" outlineLevel="2">
      <c r="A26" s="47">
        <v>2</v>
      </c>
      <c r="B26" s="42" t="s">
        <v>127</v>
      </c>
      <c r="C26" s="43" t="s">
        <v>80</v>
      </c>
      <c r="D26" s="44">
        <f>10.12*2</f>
        <v>20.239999999999998</v>
      </c>
      <c r="E26" s="44">
        <v>0</v>
      </c>
      <c r="F26" s="44">
        <v>0</v>
      </c>
      <c r="G26" s="44">
        <v>0</v>
      </c>
      <c r="H26" s="44">
        <f t="shared" si="2"/>
        <v>0</v>
      </c>
      <c r="I26" s="44">
        <f t="shared" si="3"/>
        <v>0</v>
      </c>
      <c r="J26" s="42" t="s">
        <v>178</v>
      </c>
    </row>
    <row r="27" spans="1:10" s="31" customFormat="1" ht="56.25" outlineLevel="2">
      <c r="A27" s="37">
        <v>3</v>
      </c>
      <c r="B27" s="42" t="s">
        <v>84</v>
      </c>
      <c r="C27" s="43" t="s">
        <v>85</v>
      </c>
      <c r="D27" s="44">
        <f>12.82*2</f>
        <v>25.64</v>
      </c>
      <c r="E27" s="44">
        <v>0</v>
      </c>
      <c r="F27" s="44">
        <v>0</v>
      </c>
      <c r="G27" s="44">
        <v>0</v>
      </c>
      <c r="H27" s="44">
        <f t="shared" si="2"/>
        <v>0</v>
      </c>
      <c r="I27" s="44">
        <f t="shared" si="3"/>
        <v>0</v>
      </c>
      <c r="J27" s="42" t="s">
        <v>129</v>
      </c>
    </row>
    <row r="28" spans="1:10" s="32" customFormat="1" ht="56.25" outlineLevel="2">
      <c r="A28" s="47">
        <v>4</v>
      </c>
      <c r="B28" s="42" t="s">
        <v>130</v>
      </c>
      <c r="C28" s="43" t="s">
        <v>121</v>
      </c>
      <c r="D28" s="44">
        <v>6</v>
      </c>
      <c r="E28" s="44">
        <v>0</v>
      </c>
      <c r="F28" s="44">
        <v>0</v>
      </c>
      <c r="G28" s="44">
        <v>0</v>
      </c>
      <c r="H28" s="44">
        <f t="shared" si="2"/>
        <v>0</v>
      </c>
      <c r="I28" s="44">
        <f t="shared" si="3"/>
        <v>0</v>
      </c>
      <c r="J28" s="42" t="s">
        <v>131</v>
      </c>
    </row>
    <row r="29" spans="1:10" s="31" customFormat="1" outlineLevel="1">
      <c r="A29" s="37"/>
      <c r="B29" s="42" t="s">
        <v>89</v>
      </c>
      <c r="C29" s="43"/>
      <c r="D29" s="44"/>
      <c r="E29" s="44"/>
      <c r="F29" s="44"/>
      <c r="G29" s="44"/>
      <c r="H29" s="44"/>
      <c r="I29" s="44"/>
      <c r="J29" s="42"/>
    </row>
    <row r="30" spans="1:10" s="33" customFormat="1" ht="67.5" outlineLevel="2">
      <c r="A30" s="47">
        <v>1</v>
      </c>
      <c r="B30" s="42" t="s">
        <v>90</v>
      </c>
      <c r="C30" s="47" t="s">
        <v>91</v>
      </c>
      <c r="D30" s="48">
        <f>D27*2.15-(2.6*2-0.8*2.15)*2</f>
        <v>48.17</v>
      </c>
      <c r="E30" s="44">
        <v>0</v>
      </c>
      <c r="F30" s="44">
        <v>0</v>
      </c>
      <c r="G30" s="44">
        <v>0</v>
      </c>
      <c r="H30" s="44">
        <f>E30+F30+G30</f>
        <v>0</v>
      </c>
      <c r="I30" s="44">
        <f>H30*D30</f>
        <v>0</v>
      </c>
      <c r="J30" s="42" t="s">
        <v>92</v>
      </c>
    </row>
    <row r="31" spans="1:10" s="31" customFormat="1" ht="56.25" outlineLevel="2">
      <c r="A31" s="37">
        <v>2</v>
      </c>
      <c r="B31" s="42" t="s">
        <v>132</v>
      </c>
      <c r="C31" s="47" t="s">
        <v>91</v>
      </c>
      <c r="D31" s="48">
        <f>D30</f>
        <v>48.17</v>
      </c>
      <c r="E31" s="44">
        <v>0</v>
      </c>
      <c r="F31" s="44">
        <v>0</v>
      </c>
      <c r="G31" s="44">
        <v>0</v>
      </c>
      <c r="H31" s="44">
        <f>E31+F31+G31</f>
        <v>0</v>
      </c>
      <c r="I31" s="44">
        <f>H31*D31</f>
        <v>0</v>
      </c>
      <c r="J31" s="42" t="s">
        <v>179</v>
      </c>
    </row>
    <row r="32" spans="1:10" s="31" customFormat="1" ht="56.25" outlineLevel="2">
      <c r="A32" s="47">
        <v>3</v>
      </c>
      <c r="B32" s="42" t="s">
        <v>180</v>
      </c>
      <c r="C32" s="43" t="s">
        <v>105</v>
      </c>
      <c r="D32" s="44">
        <v>2</v>
      </c>
      <c r="E32" s="44">
        <v>0</v>
      </c>
      <c r="F32" s="44">
        <v>0</v>
      </c>
      <c r="G32" s="44">
        <v>0</v>
      </c>
      <c r="H32" s="44">
        <f>E32+F32+G32</f>
        <v>0</v>
      </c>
      <c r="I32" s="44">
        <f>H32*D32</f>
        <v>0</v>
      </c>
      <c r="J32" s="42" t="s">
        <v>181</v>
      </c>
    </row>
    <row r="33" spans="1:10" s="31" customFormat="1" outlineLevel="1">
      <c r="A33" s="47"/>
      <c r="B33" s="42" t="s">
        <v>109</v>
      </c>
      <c r="C33" s="43"/>
      <c r="D33" s="44"/>
      <c r="E33" s="44"/>
      <c r="F33" s="44"/>
      <c r="G33" s="44"/>
      <c r="H33" s="44"/>
      <c r="I33" s="44"/>
      <c r="J33" s="42"/>
    </row>
    <row r="34" spans="1:10" s="31" customFormat="1" ht="56.25" outlineLevel="2">
      <c r="A34" s="37">
        <v>1</v>
      </c>
      <c r="B34" s="42" t="s">
        <v>136</v>
      </c>
      <c r="C34" s="43" t="s">
        <v>80</v>
      </c>
      <c r="D34" s="44">
        <v>20.239999999999998</v>
      </c>
      <c r="E34" s="44">
        <v>0</v>
      </c>
      <c r="F34" s="44">
        <v>0</v>
      </c>
      <c r="G34" s="44">
        <v>0</v>
      </c>
      <c r="H34" s="44">
        <f>E34+F34+G34</f>
        <v>0</v>
      </c>
      <c r="I34" s="44">
        <f>H34*D34</f>
        <v>0</v>
      </c>
      <c r="J34" s="42" t="s">
        <v>137</v>
      </c>
    </row>
    <row r="35" spans="1:10" s="33" customFormat="1" ht="36.950000000000003" customHeight="1" outlineLevel="2">
      <c r="A35" s="47">
        <v>2</v>
      </c>
      <c r="B35" s="42" t="s">
        <v>138</v>
      </c>
      <c r="C35" s="47" t="s">
        <v>121</v>
      </c>
      <c r="D35" s="48">
        <v>2</v>
      </c>
      <c r="E35" s="44">
        <v>0</v>
      </c>
      <c r="F35" s="44">
        <v>0</v>
      </c>
      <c r="G35" s="44">
        <v>0</v>
      </c>
      <c r="H35" s="44">
        <f t="shared" ref="H35:H41" si="4">G35+F35+E35</f>
        <v>0</v>
      </c>
      <c r="I35" s="44">
        <f>H35*D35</f>
        <v>0</v>
      </c>
      <c r="J35" s="42" t="s">
        <v>139</v>
      </c>
    </row>
    <row r="36" spans="1:10" s="31" customFormat="1" outlineLevel="1">
      <c r="A36" s="37"/>
      <c r="B36" s="42" t="s">
        <v>140</v>
      </c>
      <c r="C36" s="43"/>
      <c r="D36" s="44"/>
      <c r="E36" s="44"/>
      <c r="F36" s="44"/>
      <c r="G36" s="44"/>
      <c r="H36" s="44"/>
      <c r="I36" s="44"/>
      <c r="J36" s="42"/>
    </row>
    <row r="37" spans="1:10" s="33" customFormat="1" ht="41.1" customHeight="1" outlineLevel="2">
      <c r="A37" s="47">
        <v>1</v>
      </c>
      <c r="B37" s="42" t="s">
        <v>141</v>
      </c>
      <c r="C37" s="47" t="s">
        <v>121</v>
      </c>
      <c r="D37" s="48">
        <v>2</v>
      </c>
      <c r="E37" s="44">
        <v>0</v>
      </c>
      <c r="F37" s="44">
        <v>0</v>
      </c>
      <c r="G37" s="44">
        <v>0</v>
      </c>
      <c r="H37" s="44">
        <f t="shared" si="4"/>
        <v>0</v>
      </c>
      <c r="I37" s="44">
        <f t="shared" ref="I37:I41" si="5">H37*D37</f>
        <v>0</v>
      </c>
      <c r="J37" s="42" t="s">
        <v>142</v>
      </c>
    </row>
    <row r="38" spans="1:10" s="33" customFormat="1" ht="21.95" customHeight="1" outlineLevel="2">
      <c r="A38" s="37">
        <v>2</v>
      </c>
      <c r="B38" s="42" t="s">
        <v>143</v>
      </c>
      <c r="C38" s="47" t="s">
        <v>144</v>
      </c>
      <c r="D38" s="48">
        <v>2</v>
      </c>
      <c r="E38" s="44">
        <v>0</v>
      </c>
      <c r="F38" s="44">
        <v>0</v>
      </c>
      <c r="G38" s="44">
        <v>0</v>
      </c>
      <c r="H38" s="44">
        <f t="shared" si="4"/>
        <v>0</v>
      </c>
      <c r="I38" s="44">
        <f t="shared" si="5"/>
        <v>0</v>
      </c>
      <c r="J38" s="42" t="s">
        <v>145</v>
      </c>
    </row>
    <row r="39" spans="1:10" s="33" customFormat="1" ht="30" customHeight="1" outlineLevel="2">
      <c r="A39" s="47">
        <v>3</v>
      </c>
      <c r="B39" s="42" t="s">
        <v>146</v>
      </c>
      <c r="C39" s="47" t="s">
        <v>121</v>
      </c>
      <c r="D39" s="48">
        <v>6</v>
      </c>
      <c r="E39" s="44">
        <v>0</v>
      </c>
      <c r="F39" s="44">
        <v>0</v>
      </c>
      <c r="G39" s="44">
        <v>0</v>
      </c>
      <c r="H39" s="44">
        <f t="shared" si="4"/>
        <v>0</v>
      </c>
      <c r="I39" s="44">
        <f t="shared" si="5"/>
        <v>0</v>
      </c>
      <c r="J39" s="42" t="s">
        <v>147</v>
      </c>
    </row>
    <row r="40" spans="1:10" s="33" customFormat="1" ht="30.95" customHeight="1" outlineLevel="2">
      <c r="A40" s="37">
        <v>4</v>
      </c>
      <c r="B40" s="42" t="s">
        <v>148</v>
      </c>
      <c r="C40" s="47" t="s">
        <v>121</v>
      </c>
      <c r="D40" s="48">
        <v>6</v>
      </c>
      <c r="E40" s="44">
        <v>0</v>
      </c>
      <c r="F40" s="44">
        <v>0</v>
      </c>
      <c r="G40" s="44">
        <v>0</v>
      </c>
      <c r="H40" s="44">
        <f t="shared" si="4"/>
        <v>0</v>
      </c>
      <c r="I40" s="44">
        <f t="shared" si="5"/>
        <v>0</v>
      </c>
      <c r="J40" s="42" t="s">
        <v>149</v>
      </c>
    </row>
    <row r="41" spans="1:10" s="33" customFormat="1" ht="30.95" customHeight="1" outlineLevel="2">
      <c r="A41" s="47">
        <v>5</v>
      </c>
      <c r="B41" s="42" t="s">
        <v>150</v>
      </c>
      <c r="C41" s="47" t="s">
        <v>121</v>
      </c>
      <c r="D41" s="48">
        <v>6</v>
      </c>
      <c r="E41" s="44">
        <v>0</v>
      </c>
      <c r="F41" s="44">
        <v>0</v>
      </c>
      <c r="G41" s="44">
        <v>0</v>
      </c>
      <c r="H41" s="44">
        <f t="shared" si="4"/>
        <v>0</v>
      </c>
      <c r="I41" s="44">
        <f t="shared" si="5"/>
        <v>0</v>
      </c>
      <c r="J41" s="42" t="s">
        <v>151</v>
      </c>
    </row>
    <row r="42" spans="1:10" s="33" customFormat="1" ht="30.95" customHeight="1" outlineLevel="2">
      <c r="A42" s="37"/>
      <c r="B42" s="42" t="s">
        <v>115</v>
      </c>
      <c r="C42" s="47"/>
      <c r="D42" s="48"/>
      <c r="E42" s="44"/>
      <c r="F42" s="44"/>
      <c r="G42" s="44"/>
      <c r="H42" s="44"/>
      <c r="I42" s="44">
        <f>SUM(I25:I41)</f>
        <v>0</v>
      </c>
      <c r="J42" s="42"/>
    </row>
    <row r="43" spans="1:10" s="30" customFormat="1">
      <c r="A43" s="47" t="s">
        <v>30</v>
      </c>
      <c r="B43" s="39" t="s">
        <v>21</v>
      </c>
      <c r="C43" s="38"/>
      <c r="D43" s="40"/>
      <c r="E43" s="40"/>
      <c r="F43" s="40"/>
      <c r="G43" s="40"/>
      <c r="H43" s="40"/>
      <c r="I43" s="40"/>
      <c r="J43" s="39"/>
    </row>
    <row r="44" spans="1:10" s="31" customFormat="1" outlineLevel="1">
      <c r="A44" s="37"/>
      <c r="B44" s="42" t="s">
        <v>78</v>
      </c>
      <c r="C44" s="43"/>
      <c r="D44" s="44"/>
      <c r="E44" s="44"/>
      <c r="F44" s="44"/>
      <c r="G44" s="44"/>
      <c r="H44" s="44"/>
      <c r="I44" s="44"/>
      <c r="J44" s="42"/>
    </row>
    <row r="45" spans="1:10" s="31" customFormat="1" ht="67.5" outlineLevel="2">
      <c r="A45" s="47">
        <v>1</v>
      </c>
      <c r="B45" s="42" t="s">
        <v>79</v>
      </c>
      <c r="C45" s="43" t="s">
        <v>80</v>
      </c>
      <c r="D45" s="44">
        <v>35.65</v>
      </c>
      <c r="E45" s="44">
        <v>0</v>
      </c>
      <c r="F45" s="44">
        <v>0</v>
      </c>
      <c r="G45" s="44">
        <v>0</v>
      </c>
      <c r="H45" s="44">
        <f t="shared" ref="H45:H48" si="6">E45+F45+G45</f>
        <v>0</v>
      </c>
      <c r="I45" s="44">
        <f t="shared" ref="I45:I48" si="7">H45*D45</f>
        <v>0</v>
      </c>
      <c r="J45" s="42" t="s">
        <v>81</v>
      </c>
    </row>
    <row r="46" spans="1:10" s="31" customFormat="1" ht="67.5" outlineLevel="2">
      <c r="A46" s="37">
        <v>2</v>
      </c>
      <c r="B46" s="42" t="s">
        <v>152</v>
      </c>
      <c r="C46" s="43" t="s">
        <v>80</v>
      </c>
      <c r="D46" s="44">
        <v>35.65</v>
      </c>
      <c r="E46" s="44">
        <v>0</v>
      </c>
      <c r="F46" s="44">
        <v>0</v>
      </c>
      <c r="G46" s="44">
        <v>0</v>
      </c>
      <c r="H46" s="44">
        <f t="shared" si="6"/>
        <v>0</v>
      </c>
      <c r="I46" s="44">
        <f t="shared" si="7"/>
        <v>0</v>
      </c>
      <c r="J46" s="42" t="s">
        <v>153</v>
      </c>
    </row>
    <row r="47" spans="1:10" s="31" customFormat="1" ht="56.25" outlineLevel="2">
      <c r="A47" s="47">
        <v>3</v>
      </c>
      <c r="B47" s="42" t="s">
        <v>84</v>
      </c>
      <c r="C47" s="43" t="s">
        <v>85</v>
      </c>
      <c r="D47" s="44">
        <v>27.57</v>
      </c>
      <c r="E47" s="44">
        <v>0</v>
      </c>
      <c r="F47" s="44">
        <v>0</v>
      </c>
      <c r="G47" s="44">
        <v>0</v>
      </c>
      <c r="H47" s="44">
        <f t="shared" si="6"/>
        <v>0</v>
      </c>
      <c r="I47" s="44">
        <f t="shared" si="7"/>
        <v>0</v>
      </c>
      <c r="J47" s="42" t="s">
        <v>129</v>
      </c>
    </row>
    <row r="48" spans="1:10" s="32" customFormat="1" ht="56.25" outlineLevel="2">
      <c r="A48" s="37">
        <v>4</v>
      </c>
      <c r="B48" s="42" t="s">
        <v>120</v>
      </c>
      <c r="C48" s="43" t="s">
        <v>121</v>
      </c>
      <c r="D48" s="44">
        <v>1</v>
      </c>
      <c r="E48" s="44">
        <v>0</v>
      </c>
      <c r="F48" s="44">
        <v>0</v>
      </c>
      <c r="G48" s="44">
        <v>0</v>
      </c>
      <c r="H48" s="44">
        <f t="shared" si="6"/>
        <v>0</v>
      </c>
      <c r="I48" s="44">
        <f t="shared" si="7"/>
        <v>0</v>
      </c>
      <c r="J48" s="42" t="s">
        <v>88</v>
      </c>
    </row>
    <row r="49" spans="1:10" s="31" customFormat="1" outlineLevel="1">
      <c r="A49" s="47"/>
      <c r="B49" s="42" t="s">
        <v>89</v>
      </c>
      <c r="C49" s="43"/>
      <c r="D49" s="44"/>
      <c r="E49" s="44"/>
      <c r="F49" s="44"/>
      <c r="G49" s="44"/>
      <c r="H49" s="44"/>
      <c r="I49" s="44"/>
      <c r="J49" s="42"/>
    </row>
    <row r="50" spans="1:10" s="33" customFormat="1" ht="67.5" outlineLevel="2">
      <c r="A50" s="37">
        <v>1</v>
      </c>
      <c r="B50" s="42" t="s">
        <v>90</v>
      </c>
      <c r="C50" s="47" t="s">
        <v>91</v>
      </c>
      <c r="D50" s="48">
        <f>(27.57-1.4-0.8-1.6)*2.4</f>
        <v>57.05</v>
      </c>
      <c r="E50" s="44">
        <v>0</v>
      </c>
      <c r="F50" s="44">
        <v>0</v>
      </c>
      <c r="G50" s="44">
        <v>0</v>
      </c>
      <c r="H50" s="44">
        <f>E50+F50+G50</f>
        <v>0</v>
      </c>
      <c r="I50" s="44">
        <f>H50*D50</f>
        <v>0</v>
      </c>
      <c r="J50" s="42" t="s">
        <v>92</v>
      </c>
    </row>
    <row r="51" spans="1:10" s="31" customFormat="1" ht="146.25" outlineLevel="2">
      <c r="A51" s="47">
        <v>2</v>
      </c>
      <c r="B51" s="42" t="s">
        <v>154</v>
      </c>
      <c r="C51" s="47" t="s">
        <v>91</v>
      </c>
      <c r="D51" s="48">
        <f>(27.57-1.4-0.8-1.6)*2.4</f>
        <v>57.05</v>
      </c>
      <c r="E51" s="44">
        <v>0</v>
      </c>
      <c r="F51" s="44">
        <v>0</v>
      </c>
      <c r="G51" s="44">
        <v>0</v>
      </c>
      <c r="H51" s="44">
        <f>E51+F51+G51</f>
        <v>0</v>
      </c>
      <c r="I51" s="44">
        <f>H51*D51</f>
        <v>0</v>
      </c>
      <c r="J51" s="42" t="s">
        <v>155</v>
      </c>
    </row>
    <row r="52" spans="1:10" s="31" customFormat="1" ht="56.25" outlineLevel="2">
      <c r="A52" s="37">
        <v>3</v>
      </c>
      <c r="B52" s="42" t="s">
        <v>156</v>
      </c>
      <c r="C52" s="43" t="s">
        <v>105</v>
      </c>
      <c r="D52" s="44">
        <v>4</v>
      </c>
      <c r="E52" s="44">
        <v>0</v>
      </c>
      <c r="F52" s="44">
        <v>0</v>
      </c>
      <c r="G52" s="44">
        <v>0</v>
      </c>
      <c r="H52" s="44">
        <f>E52+F52+G52</f>
        <v>0</v>
      </c>
      <c r="I52" s="44">
        <f>H52*D52</f>
        <v>0</v>
      </c>
      <c r="J52" s="42" t="s">
        <v>157</v>
      </c>
    </row>
    <row r="53" spans="1:10" s="31" customFormat="1" outlineLevel="1" collapsed="1">
      <c r="A53" s="47"/>
      <c r="B53" s="42" t="s">
        <v>109</v>
      </c>
      <c r="C53" s="43"/>
      <c r="D53" s="44"/>
      <c r="E53" s="44"/>
      <c r="F53" s="44"/>
      <c r="G53" s="44"/>
      <c r="H53" s="44"/>
      <c r="I53" s="44"/>
      <c r="J53" s="42"/>
    </row>
    <row r="54" spans="1:10" s="31" customFormat="1" ht="33.75" hidden="1" outlineLevel="2">
      <c r="A54" s="37">
        <v>1</v>
      </c>
      <c r="B54" s="42" t="s">
        <v>182</v>
      </c>
      <c r="C54" s="43" t="s">
        <v>80</v>
      </c>
      <c r="D54" s="44">
        <v>35.65</v>
      </c>
      <c r="E54" s="44">
        <v>0</v>
      </c>
      <c r="F54" s="44">
        <v>0</v>
      </c>
      <c r="G54" s="44">
        <v>0</v>
      </c>
      <c r="H54" s="44">
        <f t="shared" ref="H54:H56" si="8">E54+F54+G54</f>
        <v>0</v>
      </c>
      <c r="I54" s="44">
        <f t="shared" ref="I54:I56" si="9">H54*D54</f>
        <v>0</v>
      </c>
      <c r="J54" s="42" t="s">
        <v>183</v>
      </c>
    </row>
    <row r="55" spans="1:10" s="31" customFormat="1" ht="45" hidden="1" outlineLevel="2">
      <c r="A55" s="47">
        <v>2</v>
      </c>
      <c r="B55" s="42" t="s">
        <v>134</v>
      </c>
      <c r="C55" s="47" t="s">
        <v>91</v>
      </c>
      <c r="D55" s="44">
        <f>35.65*1.2</f>
        <v>42.78</v>
      </c>
      <c r="E55" s="44">
        <v>0</v>
      </c>
      <c r="F55" s="44">
        <v>0</v>
      </c>
      <c r="G55" s="44">
        <v>0</v>
      </c>
      <c r="H55" s="44">
        <f t="shared" si="8"/>
        <v>0</v>
      </c>
      <c r="I55" s="44">
        <f t="shared" si="9"/>
        <v>0</v>
      </c>
      <c r="J55" s="42" t="s">
        <v>135</v>
      </c>
    </row>
    <row r="56" spans="1:10" s="31" customFormat="1" ht="56.25" hidden="1" outlineLevel="2">
      <c r="A56" s="37">
        <v>3</v>
      </c>
      <c r="B56" s="42" t="s">
        <v>158</v>
      </c>
      <c r="C56" s="43" t="s">
        <v>80</v>
      </c>
      <c r="D56" s="44">
        <v>35.65</v>
      </c>
      <c r="E56" s="44">
        <v>0</v>
      </c>
      <c r="F56" s="44">
        <v>0</v>
      </c>
      <c r="G56" s="44">
        <v>0</v>
      </c>
      <c r="H56" s="44">
        <f t="shared" si="8"/>
        <v>0</v>
      </c>
      <c r="I56" s="44">
        <f t="shared" si="9"/>
        <v>0</v>
      </c>
      <c r="J56" s="42" t="s">
        <v>159</v>
      </c>
    </row>
    <row r="57" spans="1:10" s="33" customFormat="1" ht="19.899999999999999" hidden="1" customHeight="1" outlineLevel="2">
      <c r="A57" s="47"/>
      <c r="B57" s="42" t="s">
        <v>115</v>
      </c>
      <c r="C57" s="47"/>
      <c r="D57" s="48"/>
      <c r="E57" s="44"/>
      <c r="F57" s="44"/>
      <c r="G57" s="44"/>
      <c r="H57" s="44"/>
      <c r="I57" s="44">
        <f>SUM(I45:I56)</f>
        <v>0</v>
      </c>
      <c r="J57" s="42"/>
    </row>
    <row r="58" spans="1:10" s="30" customFormat="1">
      <c r="A58" s="38" t="s">
        <v>160</v>
      </c>
      <c r="B58" s="39" t="s">
        <v>22</v>
      </c>
      <c r="C58" s="38"/>
      <c r="D58" s="40"/>
      <c r="E58" s="40"/>
      <c r="F58" s="40"/>
      <c r="G58" s="40"/>
      <c r="H58" s="40"/>
      <c r="I58" s="40"/>
      <c r="J58" s="39"/>
    </row>
    <row r="59" spans="1:10" s="31" customFormat="1" outlineLevel="1">
      <c r="A59" s="43"/>
      <c r="B59" s="42" t="s">
        <v>78</v>
      </c>
      <c r="C59" s="43"/>
      <c r="D59" s="44"/>
      <c r="E59" s="44"/>
      <c r="F59" s="44"/>
      <c r="G59" s="44"/>
      <c r="H59" s="44"/>
      <c r="I59" s="44"/>
      <c r="J59" s="42"/>
    </row>
    <row r="60" spans="1:10" s="31" customFormat="1" ht="67.5" outlineLevel="2">
      <c r="A60" s="43">
        <v>1</v>
      </c>
      <c r="B60" s="42" t="s">
        <v>79</v>
      </c>
      <c r="C60" s="43" t="s">
        <v>80</v>
      </c>
      <c r="D60" s="44">
        <v>27.91</v>
      </c>
      <c r="E60" s="44">
        <v>0</v>
      </c>
      <c r="F60" s="44">
        <v>0</v>
      </c>
      <c r="G60" s="44">
        <v>0</v>
      </c>
      <c r="H60" s="44">
        <f t="shared" ref="H60:H63" si="10">E60+F60+G60</f>
        <v>0</v>
      </c>
      <c r="I60" s="44">
        <f t="shared" ref="I60:I63" si="11">H60*D60</f>
        <v>0</v>
      </c>
      <c r="J60" s="42" t="s">
        <v>81</v>
      </c>
    </row>
    <row r="61" spans="1:10" s="31" customFormat="1" ht="67.5" outlineLevel="2">
      <c r="A61" s="43">
        <v>2</v>
      </c>
      <c r="B61" s="42" t="s">
        <v>152</v>
      </c>
      <c r="C61" s="43" t="s">
        <v>80</v>
      </c>
      <c r="D61" s="44">
        <v>27.91</v>
      </c>
      <c r="E61" s="44">
        <v>0</v>
      </c>
      <c r="F61" s="44">
        <v>0</v>
      </c>
      <c r="G61" s="44">
        <v>0</v>
      </c>
      <c r="H61" s="44">
        <f t="shared" si="10"/>
        <v>0</v>
      </c>
      <c r="I61" s="44">
        <f t="shared" si="11"/>
        <v>0</v>
      </c>
      <c r="J61" s="42" t="s">
        <v>153</v>
      </c>
    </row>
    <row r="62" spans="1:10" s="31" customFormat="1" ht="56.25" outlineLevel="2">
      <c r="A62" s="43">
        <v>3</v>
      </c>
      <c r="B62" s="42" t="s">
        <v>84</v>
      </c>
      <c r="C62" s="43" t="s">
        <v>85</v>
      </c>
      <c r="D62" s="44">
        <v>25.04</v>
      </c>
      <c r="E62" s="44">
        <v>0</v>
      </c>
      <c r="F62" s="44">
        <v>0</v>
      </c>
      <c r="G62" s="44">
        <v>0</v>
      </c>
      <c r="H62" s="44">
        <f t="shared" si="10"/>
        <v>0</v>
      </c>
      <c r="I62" s="44">
        <f t="shared" si="11"/>
        <v>0</v>
      </c>
      <c r="J62" s="42" t="s">
        <v>129</v>
      </c>
    </row>
    <row r="63" spans="1:10" s="32" customFormat="1" ht="56.25" outlineLevel="2">
      <c r="A63" s="43">
        <v>4</v>
      </c>
      <c r="B63" s="42" t="s">
        <v>120</v>
      </c>
      <c r="C63" s="43" t="s">
        <v>121</v>
      </c>
      <c r="D63" s="44">
        <v>1</v>
      </c>
      <c r="E63" s="44">
        <v>0</v>
      </c>
      <c r="F63" s="44">
        <v>0</v>
      </c>
      <c r="G63" s="44">
        <v>0</v>
      </c>
      <c r="H63" s="44">
        <f t="shared" si="10"/>
        <v>0</v>
      </c>
      <c r="I63" s="44">
        <f t="shared" si="11"/>
        <v>0</v>
      </c>
      <c r="J63" s="42" t="s">
        <v>88</v>
      </c>
    </row>
    <row r="64" spans="1:10" s="31" customFormat="1" outlineLevel="1">
      <c r="A64" s="43"/>
      <c r="B64" s="42" t="s">
        <v>89</v>
      </c>
      <c r="C64" s="43"/>
      <c r="D64" s="44"/>
      <c r="E64" s="44"/>
      <c r="F64" s="44"/>
      <c r="G64" s="44"/>
      <c r="H64" s="44"/>
      <c r="I64" s="44"/>
      <c r="J64" s="42"/>
    </row>
    <row r="65" spans="1:10" s="33" customFormat="1" ht="67.5" outlineLevel="2">
      <c r="A65" s="47">
        <v>1</v>
      </c>
      <c r="B65" s="42" t="s">
        <v>90</v>
      </c>
      <c r="C65" s="47" t="s">
        <v>91</v>
      </c>
      <c r="D65" s="48">
        <f>(25.04-1.4-0.8-1.6)*2.4</f>
        <v>50.98</v>
      </c>
      <c r="E65" s="44">
        <v>0</v>
      </c>
      <c r="F65" s="44">
        <v>0</v>
      </c>
      <c r="G65" s="44">
        <v>0</v>
      </c>
      <c r="H65" s="44">
        <f>E65+F65+G65</f>
        <v>0</v>
      </c>
      <c r="I65" s="44">
        <f>H65*D65</f>
        <v>0</v>
      </c>
      <c r="J65" s="42" t="s">
        <v>92</v>
      </c>
    </row>
    <row r="66" spans="1:10" s="31" customFormat="1" ht="146.25" outlineLevel="2">
      <c r="A66" s="47">
        <v>2</v>
      </c>
      <c r="B66" s="42" t="s">
        <v>154</v>
      </c>
      <c r="C66" s="47" t="s">
        <v>91</v>
      </c>
      <c r="D66" s="48">
        <f>(25.04-1.4-0.8-1.6)*2.4</f>
        <v>50.98</v>
      </c>
      <c r="E66" s="44">
        <v>0</v>
      </c>
      <c r="F66" s="44">
        <v>0</v>
      </c>
      <c r="G66" s="44">
        <v>0</v>
      </c>
      <c r="H66" s="44">
        <f>E66+F66+G66</f>
        <v>0</v>
      </c>
      <c r="I66" s="44">
        <f>H66*D66</f>
        <v>0</v>
      </c>
      <c r="J66" s="42" t="s">
        <v>155</v>
      </c>
    </row>
    <row r="67" spans="1:10" s="31" customFormat="1" ht="56.25" outlineLevel="2">
      <c r="A67" s="43">
        <v>3</v>
      </c>
      <c r="B67" s="42" t="s">
        <v>156</v>
      </c>
      <c r="C67" s="43" t="s">
        <v>105</v>
      </c>
      <c r="D67" s="44">
        <v>4</v>
      </c>
      <c r="E67" s="44">
        <v>0</v>
      </c>
      <c r="F67" s="44">
        <v>0</v>
      </c>
      <c r="G67" s="44">
        <v>0</v>
      </c>
      <c r="H67" s="44">
        <f>E67+F67+G67</f>
        <v>0</v>
      </c>
      <c r="I67" s="44">
        <f>H67*D67</f>
        <v>0</v>
      </c>
      <c r="J67" s="42" t="s">
        <v>157</v>
      </c>
    </row>
    <row r="68" spans="1:10" s="31" customFormat="1" outlineLevel="1">
      <c r="A68" s="43"/>
      <c r="B68" s="42" t="s">
        <v>109</v>
      </c>
      <c r="C68" s="43"/>
      <c r="D68" s="44"/>
      <c r="E68" s="44"/>
      <c r="F68" s="44"/>
      <c r="G68" s="44"/>
      <c r="H68" s="44"/>
      <c r="I68" s="44"/>
      <c r="J68" s="42"/>
    </row>
    <row r="69" spans="1:10" s="31" customFormat="1" ht="56.25" outlineLevel="2">
      <c r="A69" s="43">
        <v>1</v>
      </c>
      <c r="B69" s="42" t="s">
        <v>158</v>
      </c>
      <c r="C69" s="43" t="s">
        <v>80</v>
      </c>
      <c r="D69" s="44">
        <v>27.91</v>
      </c>
      <c r="E69" s="44">
        <v>0</v>
      </c>
      <c r="F69" s="44">
        <v>0</v>
      </c>
      <c r="G69" s="44">
        <v>0</v>
      </c>
      <c r="H69" s="44">
        <f>E69+F69+G69</f>
        <v>0</v>
      </c>
      <c r="I69" s="44">
        <f>H69*D69</f>
        <v>0</v>
      </c>
      <c r="J69" s="42" t="s">
        <v>159</v>
      </c>
    </row>
    <row r="70" spans="1:10" s="33" customFormat="1" ht="19.899999999999999" customHeight="1" outlineLevel="2">
      <c r="A70" s="47"/>
      <c r="B70" s="42" t="s">
        <v>115</v>
      </c>
      <c r="C70" s="47"/>
      <c r="D70" s="48"/>
      <c r="E70" s="44"/>
      <c r="F70" s="44"/>
      <c r="G70" s="44"/>
      <c r="H70" s="44"/>
      <c r="I70" s="44">
        <f>SUM(I60:I69)</f>
        <v>0</v>
      </c>
      <c r="J70" s="42"/>
    </row>
    <row r="71" spans="1:10" s="30" customFormat="1">
      <c r="A71" s="38" t="s">
        <v>161</v>
      </c>
      <c r="B71" s="39" t="s">
        <v>162</v>
      </c>
      <c r="C71" s="38"/>
      <c r="D71" s="40"/>
      <c r="E71" s="40"/>
      <c r="F71" s="40"/>
      <c r="G71" s="40"/>
      <c r="H71" s="40"/>
      <c r="I71" s="40"/>
      <c r="J71" s="39"/>
    </row>
    <row r="72" spans="1:10" s="31" customFormat="1" outlineLevel="1">
      <c r="A72" s="37"/>
      <c r="B72" s="42" t="s">
        <v>78</v>
      </c>
      <c r="C72" s="43"/>
      <c r="D72" s="44"/>
      <c r="E72" s="44"/>
      <c r="F72" s="44"/>
      <c r="G72" s="44"/>
      <c r="H72" s="44"/>
      <c r="I72" s="44"/>
      <c r="J72" s="42"/>
    </row>
    <row r="73" spans="1:10" s="31" customFormat="1" ht="63" customHeight="1" outlineLevel="2">
      <c r="A73" s="47">
        <v>1</v>
      </c>
      <c r="B73" s="42" t="s">
        <v>79</v>
      </c>
      <c r="C73" s="43" t="s">
        <v>80</v>
      </c>
      <c r="D73" s="44">
        <v>517.69000000000005</v>
      </c>
      <c r="E73" s="44">
        <v>0</v>
      </c>
      <c r="F73" s="44">
        <v>0</v>
      </c>
      <c r="G73" s="44">
        <v>0</v>
      </c>
      <c r="H73" s="44">
        <f>E73+F73+G73</f>
        <v>0</v>
      </c>
      <c r="I73" s="44">
        <f>H73*D73</f>
        <v>0</v>
      </c>
      <c r="J73" s="42" t="s">
        <v>81</v>
      </c>
    </row>
    <row r="74" spans="1:10" s="31" customFormat="1" ht="67.5" outlineLevel="2">
      <c r="A74" s="37">
        <v>2</v>
      </c>
      <c r="B74" s="42" t="s">
        <v>82</v>
      </c>
      <c r="C74" s="43" t="s">
        <v>80</v>
      </c>
      <c r="D74" s="44">
        <f>573.86-67.05+27.84+2.7</f>
        <v>537.35</v>
      </c>
      <c r="E74" s="44">
        <v>0</v>
      </c>
      <c r="F74" s="44">
        <v>0</v>
      </c>
      <c r="G74" s="44">
        <v>0</v>
      </c>
      <c r="H74" s="44">
        <f>E74+F74+G74</f>
        <v>0</v>
      </c>
      <c r="I74" s="44">
        <f>H74*D74</f>
        <v>0</v>
      </c>
      <c r="J74" s="42" t="s">
        <v>83</v>
      </c>
    </row>
    <row r="75" spans="1:10" s="31" customFormat="1" ht="56.25" outlineLevel="2">
      <c r="A75" s="47">
        <v>3</v>
      </c>
      <c r="B75" s="42" t="s">
        <v>84</v>
      </c>
      <c r="C75" s="43" t="s">
        <v>85</v>
      </c>
      <c r="D75" s="44">
        <v>104.7</v>
      </c>
      <c r="E75" s="44">
        <v>0</v>
      </c>
      <c r="F75" s="44">
        <v>0</v>
      </c>
      <c r="G75" s="44">
        <v>0</v>
      </c>
      <c r="H75" s="44">
        <f>E75+F75+G75</f>
        <v>0</v>
      </c>
      <c r="I75" s="44">
        <f>H75*D75</f>
        <v>0</v>
      </c>
      <c r="J75" s="42" t="s">
        <v>86</v>
      </c>
    </row>
    <row r="76" spans="1:10" s="31" customFormat="1" ht="56.25" outlineLevel="2">
      <c r="A76" s="37">
        <v>4</v>
      </c>
      <c r="B76" s="42" t="s">
        <v>163</v>
      </c>
      <c r="C76" s="43" t="s">
        <v>85</v>
      </c>
      <c r="D76" s="44">
        <f>2.85*16</f>
        <v>45.6</v>
      </c>
      <c r="E76" s="44">
        <v>0</v>
      </c>
      <c r="F76" s="44">
        <v>0</v>
      </c>
      <c r="G76" s="44">
        <v>0</v>
      </c>
      <c r="H76" s="44">
        <f>E76+F76+G76</f>
        <v>0</v>
      </c>
      <c r="I76" s="44">
        <f>H76*D76</f>
        <v>0</v>
      </c>
      <c r="J76" s="42" t="s">
        <v>164</v>
      </c>
    </row>
    <row r="77" spans="1:10" s="32" customFormat="1" ht="56.25" outlineLevel="2">
      <c r="A77" s="37">
        <v>5</v>
      </c>
      <c r="B77" s="42" t="s">
        <v>87</v>
      </c>
      <c r="C77" s="43" t="s">
        <v>85</v>
      </c>
      <c r="D77" s="44">
        <v>34.200000000000003</v>
      </c>
      <c r="E77" s="44">
        <v>0</v>
      </c>
      <c r="F77" s="44">
        <v>0</v>
      </c>
      <c r="G77" s="44">
        <v>0</v>
      </c>
      <c r="H77" s="44">
        <f>E77+F77+G77</f>
        <v>0</v>
      </c>
      <c r="I77" s="44">
        <f>H77*D77</f>
        <v>0</v>
      </c>
      <c r="J77" s="42" t="s">
        <v>88</v>
      </c>
    </row>
    <row r="78" spans="1:10" s="31" customFormat="1" outlineLevel="1">
      <c r="A78" s="47"/>
      <c r="B78" s="42" t="s">
        <v>89</v>
      </c>
      <c r="C78" s="43"/>
      <c r="D78" s="44"/>
      <c r="E78" s="44"/>
      <c r="F78" s="44"/>
      <c r="G78" s="44"/>
      <c r="H78" s="44"/>
      <c r="I78" s="44"/>
      <c r="J78" s="42"/>
    </row>
    <row r="79" spans="1:10" s="33" customFormat="1" ht="67.5" outlineLevel="2">
      <c r="A79" s="47">
        <v>1</v>
      </c>
      <c r="B79" s="42" t="s">
        <v>90</v>
      </c>
      <c r="C79" s="47" t="s">
        <v>91</v>
      </c>
      <c r="D79" s="48">
        <f>122.3*2.15-16*2*2.7</f>
        <v>176.55</v>
      </c>
      <c r="E79" s="44">
        <v>0</v>
      </c>
      <c r="F79" s="44">
        <v>0</v>
      </c>
      <c r="G79" s="44">
        <v>0</v>
      </c>
      <c r="H79" s="44">
        <f t="shared" ref="H79:H85" si="12">E79+F79+G79</f>
        <v>0</v>
      </c>
      <c r="I79" s="44">
        <f t="shared" ref="I79:I85" si="13">H79*D79</f>
        <v>0</v>
      </c>
      <c r="J79" s="42" t="s">
        <v>92</v>
      </c>
    </row>
    <row r="80" spans="1:10" s="31" customFormat="1" ht="67.5" outlineLevel="2">
      <c r="A80" s="37">
        <v>2</v>
      </c>
      <c r="B80" s="42" t="s">
        <v>93</v>
      </c>
      <c r="C80" s="47" t="s">
        <v>91</v>
      </c>
      <c r="D80" s="48">
        <f>122.3*2.15-16*2*2.7</f>
        <v>176.55</v>
      </c>
      <c r="E80" s="44">
        <v>0</v>
      </c>
      <c r="F80" s="44">
        <v>0</v>
      </c>
      <c r="G80" s="44">
        <v>0</v>
      </c>
      <c r="H80" s="44">
        <f t="shared" si="12"/>
        <v>0</v>
      </c>
      <c r="I80" s="44">
        <f t="shared" si="13"/>
        <v>0</v>
      </c>
      <c r="J80" s="42" t="s">
        <v>165</v>
      </c>
    </row>
    <row r="81" spans="1:10" s="31" customFormat="1" ht="67.5" outlineLevel="2">
      <c r="A81" s="47">
        <v>3</v>
      </c>
      <c r="B81" s="42" t="s">
        <v>95</v>
      </c>
      <c r="C81" s="47" t="s">
        <v>96</v>
      </c>
      <c r="D81" s="48">
        <v>6</v>
      </c>
      <c r="E81" s="44">
        <v>0</v>
      </c>
      <c r="F81" s="44">
        <v>0</v>
      </c>
      <c r="G81" s="44">
        <v>0</v>
      </c>
      <c r="H81" s="44">
        <f t="shared" si="12"/>
        <v>0</v>
      </c>
      <c r="I81" s="44">
        <f t="shared" si="13"/>
        <v>0</v>
      </c>
      <c r="J81" s="42" t="s">
        <v>166</v>
      </c>
    </row>
    <row r="82" spans="1:10" s="31" customFormat="1" ht="56.25" outlineLevel="2">
      <c r="A82" s="47">
        <v>5</v>
      </c>
      <c r="B82" s="42" t="s">
        <v>167</v>
      </c>
      <c r="C82" s="47" t="s">
        <v>91</v>
      </c>
      <c r="D82" s="44">
        <f>(0.53+0.53+2.4)*2.15</f>
        <v>7.44</v>
      </c>
      <c r="E82" s="44">
        <v>0</v>
      </c>
      <c r="F82" s="44">
        <v>0</v>
      </c>
      <c r="G82" s="44">
        <v>0</v>
      </c>
      <c r="H82" s="44">
        <f t="shared" si="12"/>
        <v>0</v>
      </c>
      <c r="I82" s="44">
        <f t="shared" si="13"/>
        <v>0</v>
      </c>
      <c r="J82" s="42" t="s">
        <v>99</v>
      </c>
    </row>
    <row r="83" spans="1:10" s="31" customFormat="1" ht="78.75" outlineLevel="2">
      <c r="A83" s="37">
        <v>6</v>
      </c>
      <c r="B83" s="42" t="s">
        <v>184</v>
      </c>
      <c r="C83" s="43" t="s">
        <v>85</v>
      </c>
      <c r="D83" s="44">
        <v>19.899999999999999</v>
      </c>
      <c r="E83" s="44">
        <v>0</v>
      </c>
      <c r="F83" s="44">
        <v>0</v>
      </c>
      <c r="G83" s="44">
        <v>0</v>
      </c>
      <c r="H83" s="44">
        <f t="shared" si="12"/>
        <v>0</v>
      </c>
      <c r="I83" s="44">
        <f t="shared" si="13"/>
        <v>0</v>
      </c>
      <c r="J83" s="42" t="s">
        <v>169</v>
      </c>
    </row>
    <row r="84" spans="1:10" s="31" customFormat="1" ht="56.25" outlineLevel="2">
      <c r="A84" s="37">
        <v>10</v>
      </c>
      <c r="B84" s="42" t="s">
        <v>104</v>
      </c>
      <c r="C84" s="43" t="s">
        <v>105</v>
      </c>
      <c r="D84" s="44">
        <v>4</v>
      </c>
      <c r="E84" s="44">
        <v>0</v>
      </c>
      <c r="F84" s="44">
        <v>0</v>
      </c>
      <c r="G84" s="44">
        <v>0</v>
      </c>
      <c r="H84" s="44">
        <f t="shared" si="12"/>
        <v>0</v>
      </c>
      <c r="I84" s="44">
        <f t="shared" si="13"/>
        <v>0</v>
      </c>
      <c r="J84" s="42" t="s">
        <v>106</v>
      </c>
    </row>
    <row r="85" spans="1:10" s="31" customFormat="1" ht="56.25" outlineLevel="2">
      <c r="A85" s="47">
        <v>11</v>
      </c>
      <c r="B85" s="42" t="s">
        <v>107</v>
      </c>
      <c r="C85" s="47" t="s">
        <v>91</v>
      </c>
      <c r="D85" s="44">
        <f>3.45*2.15*2</f>
        <v>14.84</v>
      </c>
      <c r="E85" s="44">
        <v>0</v>
      </c>
      <c r="F85" s="44">
        <v>0</v>
      </c>
      <c r="G85" s="44">
        <v>0</v>
      </c>
      <c r="H85" s="44">
        <f t="shared" si="12"/>
        <v>0</v>
      </c>
      <c r="I85" s="44">
        <f t="shared" si="13"/>
        <v>0</v>
      </c>
      <c r="J85" s="42" t="s">
        <v>177</v>
      </c>
    </row>
    <row r="86" spans="1:10" s="33" customFormat="1" ht="19.899999999999999" customHeight="1" outlineLevel="2">
      <c r="A86" s="49"/>
      <c r="B86" s="42" t="s">
        <v>115</v>
      </c>
      <c r="C86" s="47"/>
      <c r="D86" s="48"/>
      <c r="E86" s="44"/>
      <c r="F86" s="44"/>
      <c r="G86" s="44"/>
      <c r="H86" s="44"/>
      <c r="I86" s="44">
        <f>SUM(I73:I85)</f>
        <v>0</v>
      </c>
      <c r="J86" s="42"/>
    </row>
    <row r="87" spans="1:10" s="30" customFormat="1">
      <c r="A87" s="38" t="s">
        <v>185</v>
      </c>
      <c r="B87" s="39" t="s">
        <v>186</v>
      </c>
      <c r="C87" s="38"/>
      <c r="D87" s="40"/>
      <c r="E87" s="40"/>
      <c r="F87" s="40"/>
      <c r="G87" s="40"/>
      <c r="H87" s="40"/>
      <c r="I87" s="40"/>
      <c r="J87" s="39"/>
    </row>
    <row r="88" spans="1:10" s="31" customFormat="1" outlineLevel="1">
      <c r="A88" s="43"/>
      <c r="B88" s="42" t="s">
        <v>78</v>
      </c>
      <c r="C88" s="43"/>
      <c r="D88" s="44"/>
      <c r="E88" s="44"/>
      <c r="F88" s="44"/>
      <c r="G88" s="44"/>
      <c r="H88" s="44"/>
      <c r="I88" s="44"/>
      <c r="J88" s="42"/>
    </row>
    <row r="89" spans="1:10" s="31" customFormat="1" ht="67.5" outlineLevel="2">
      <c r="A89" s="43">
        <v>1</v>
      </c>
      <c r="B89" s="42" t="s">
        <v>79</v>
      </c>
      <c r="C89" s="43" t="s">
        <v>80</v>
      </c>
      <c r="D89" s="44">
        <f>23.6*2</f>
        <v>47.2</v>
      </c>
      <c r="E89" s="44">
        <v>0</v>
      </c>
      <c r="F89" s="44">
        <v>0</v>
      </c>
      <c r="G89" s="44">
        <v>0</v>
      </c>
      <c r="H89" s="44">
        <f t="shared" ref="H89:H92" si="14">E89+F89+G89</f>
        <v>0</v>
      </c>
      <c r="I89" s="44">
        <f t="shared" ref="I89:I92" si="15">H89*D89</f>
        <v>0</v>
      </c>
      <c r="J89" s="42" t="s">
        <v>81</v>
      </c>
    </row>
    <row r="90" spans="1:10" s="31" customFormat="1" ht="67.5" outlineLevel="2">
      <c r="A90" s="47">
        <v>2</v>
      </c>
      <c r="B90" s="42" t="s">
        <v>127</v>
      </c>
      <c r="C90" s="43" t="s">
        <v>80</v>
      </c>
      <c r="D90" s="44">
        <f>D89</f>
        <v>47.2</v>
      </c>
      <c r="E90" s="44">
        <v>0</v>
      </c>
      <c r="F90" s="44">
        <v>0</v>
      </c>
      <c r="G90" s="44">
        <v>0</v>
      </c>
      <c r="H90" s="44">
        <f t="shared" si="14"/>
        <v>0</v>
      </c>
      <c r="I90" s="44">
        <f t="shared" si="15"/>
        <v>0</v>
      </c>
      <c r="J90" s="42" t="s">
        <v>178</v>
      </c>
    </row>
    <row r="91" spans="1:10" s="31" customFormat="1" ht="56.25" outlineLevel="2">
      <c r="A91" s="43">
        <v>3</v>
      </c>
      <c r="B91" s="42" t="s">
        <v>84</v>
      </c>
      <c r="C91" s="43" t="s">
        <v>85</v>
      </c>
      <c r="D91" s="44">
        <f>19.67*2</f>
        <v>39.340000000000003</v>
      </c>
      <c r="E91" s="44">
        <v>0</v>
      </c>
      <c r="F91" s="44">
        <v>0</v>
      </c>
      <c r="G91" s="44">
        <v>0</v>
      </c>
      <c r="H91" s="44">
        <f t="shared" si="14"/>
        <v>0</v>
      </c>
      <c r="I91" s="44">
        <f t="shared" si="15"/>
        <v>0</v>
      </c>
      <c r="J91" s="42" t="s">
        <v>129</v>
      </c>
    </row>
    <row r="92" spans="1:10" s="32" customFormat="1" ht="56.25" outlineLevel="2">
      <c r="A92" s="43">
        <v>4</v>
      </c>
      <c r="B92" s="42" t="s">
        <v>120</v>
      </c>
      <c r="C92" s="43" t="s">
        <v>121</v>
      </c>
      <c r="D92" s="44">
        <v>6.4</v>
      </c>
      <c r="E92" s="44">
        <v>0</v>
      </c>
      <c r="F92" s="44">
        <v>0</v>
      </c>
      <c r="G92" s="44">
        <v>0</v>
      </c>
      <c r="H92" s="44">
        <f t="shared" si="14"/>
        <v>0</v>
      </c>
      <c r="I92" s="44">
        <f t="shared" si="15"/>
        <v>0</v>
      </c>
      <c r="J92" s="42" t="s">
        <v>88</v>
      </c>
    </row>
    <row r="93" spans="1:10" s="31" customFormat="1" outlineLevel="1">
      <c r="A93" s="43"/>
      <c r="B93" s="42" t="s">
        <v>89</v>
      </c>
      <c r="C93" s="43"/>
      <c r="D93" s="44"/>
      <c r="E93" s="44"/>
      <c r="F93" s="44"/>
      <c r="G93" s="44"/>
      <c r="H93" s="44"/>
      <c r="I93" s="44"/>
      <c r="J93" s="42"/>
    </row>
    <row r="94" spans="1:10" s="33" customFormat="1" ht="67.5" outlineLevel="2">
      <c r="A94" s="47">
        <v>1</v>
      </c>
      <c r="B94" s="42" t="s">
        <v>90</v>
      </c>
      <c r="C94" s="47" t="s">
        <v>91</v>
      </c>
      <c r="D94" s="48">
        <f>76.84</f>
        <v>76.84</v>
      </c>
      <c r="E94" s="44">
        <v>0</v>
      </c>
      <c r="F94" s="44">
        <v>0</v>
      </c>
      <c r="G94" s="44">
        <v>0</v>
      </c>
      <c r="H94" s="44">
        <f>E94+F94+G94</f>
        <v>0</v>
      </c>
      <c r="I94" s="44">
        <f>H94*D94</f>
        <v>0</v>
      </c>
      <c r="J94" s="42" t="s">
        <v>92</v>
      </c>
    </row>
    <row r="95" spans="1:10" s="31" customFormat="1" ht="67.5" outlineLevel="2">
      <c r="A95" s="37">
        <v>2</v>
      </c>
      <c r="B95" s="42" t="s">
        <v>93</v>
      </c>
      <c r="C95" s="47" t="s">
        <v>91</v>
      </c>
      <c r="D95" s="48">
        <v>76.84</v>
      </c>
      <c r="E95" s="44">
        <v>0</v>
      </c>
      <c r="F95" s="44">
        <v>0</v>
      </c>
      <c r="G95" s="44">
        <v>0</v>
      </c>
      <c r="H95" s="44">
        <f>E95+F95+G95</f>
        <v>0</v>
      </c>
      <c r="I95" s="44">
        <f>H95*D95</f>
        <v>0</v>
      </c>
      <c r="J95" s="42" t="s">
        <v>165</v>
      </c>
    </row>
    <row r="96" spans="1:10" s="31" customFormat="1" ht="56.25" outlineLevel="2">
      <c r="A96" s="43">
        <v>3</v>
      </c>
      <c r="B96" s="42" t="s">
        <v>180</v>
      </c>
      <c r="C96" s="43" t="s">
        <v>105</v>
      </c>
      <c r="D96" s="44">
        <v>4</v>
      </c>
      <c r="E96" s="44">
        <v>0</v>
      </c>
      <c r="F96" s="44">
        <v>0</v>
      </c>
      <c r="G96" s="44">
        <v>0</v>
      </c>
      <c r="H96" s="44">
        <f>E96+F96+G96</f>
        <v>0</v>
      </c>
      <c r="I96" s="44">
        <f>H96*D96</f>
        <v>0</v>
      </c>
      <c r="J96" s="42" t="s">
        <v>187</v>
      </c>
    </row>
    <row r="97" spans="1:10" s="33" customFormat="1" ht="19.899999999999999" customHeight="1" outlineLevel="2">
      <c r="A97" s="47"/>
      <c r="B97" s="42" t="s">
        <v>115</v>
      </c>
      <c r="C97" s="47"/>
      <c r="D97" s="48"/>
      <c r="E97" s="44"/>
      <c r="F97" s="44"/>
      <c r="G97" s="44"/>
      <c r="H97" s="44"/>
      <c r="I97" s="44">
        <f>SUM(I89:I96)</f>
        <v>0</v>
      </c>
      <c r="J97" s="42"/>
    </row>
  </sheetData>
  <sheetProtection formatCells="0" formatColumns="0" formatRows="0" insertColumns="0" insertRows="0" insertHyperlinks="0" deleteColumns="0" deleteRows="0" sort="0" autoFilter="0" pivotTables="0"/>
  <autoFilter ref="A4:J97" xr:uid="{00000000-0009-0000-0000-000004000000}"/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3" type="noConversion"/>
  <printOptions horizontalCentered="1"/>
  <pageMargins left="0.39305555555555599" right="0.39305555555555599" top="0.39305555555555599" bottom="0.59027777777777801" header="0.39305555555555599" footer="0.39305555555555599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J111"/>
  <sheetViews>
    <sheetView view="pageBreakPreview" zoomScale="130" zoomScaleNormal="100" workbookViewId="0">
      <pane ySplit="4" topLeftCell="A42" activePane="bottomLeft" state="frozen"/>
      <selection pane="bottomLeft" activeCell="B113" sqref="B113"/>
    </sheetView>
  </sheetViews>
  <sheetFormatPr defaultColWidth="8.875" defaultRowHeight="12.75" outlineLevelRow="2"/>
  <cols>
    <col min="1" max="1" width="5.75" style="34" customWidth="1"/>
    <col min="2" max="2" width="19.625" style="35" customWidth="1"/>
    <col min="3" max="3" width="5" style="36" customWidth="1"/>
    <col min="4" max="8" width="8.875" style="36"/>
    <col min="9" max="9" width="9.5" style="36"/>
    <col min="10" max="10" width="27.375" style="36" customWidth="1"/>
    <col min="11" max="16384" width="8.875" style="36"/>
  </cols>
  <sheetData>
    <row r="1" spans="1:10" s="28" customFormat="1" ht="20.100000000000001" customHeight="1">
      <c r="A1" s="99" t="s">
        <v>66</v>
      </c>
      <c r="B1" s="100"/>
      <c r="C1" s="99"/>
      <c r="D1" s="101"/>
      <c r="E1" s="101"/>
      <c r="F1" s="101"/>
      <c r="G1" s="101"/>
      <c r="H1" s="101"/>
      <c r="I1" s="101"/>
      <c r="J1" s="99"/>
    </row>
    <row r="2" spans="1:10" s="29" customFormat="1" ht="15" customHeight="1">
      <c r="A2" s="102" t="s">
        <v>172</v>
      </c>
      <c r="B2" s="102"/>
      <c r="C2" s="102"/>
      <c r="D2" s="103"/>
      <c r="E2" s="104"/>
      <c r="F2" s="104"/>
      <c r="G2" s="104"/>
      <c r="H2" s="103"/>
      <c r="I2" s="103"/>
      <c r="J2" s="102"/>
    </row>
    <row r="3" spans="1:10" s="28" customFormat="1">
      <c r="A3" s="105"/>
      <c r="B3" s="107" t="s">
        <v>68</v>
      </c>
      <c r="C3" s="107" t="s">
        <v>69</v>
      </c>
      <c r="D3" s="104" t="s">
        <v>70</v>
      </c>
      <c r="E3" s="104" t="s">
        <v>71</v>
      </c>
      <c r="F3" s="110" t="s">
        <v>72</v>
      </c>
      <c r="G3" s="104" t="s">
        <v>73</v>
      </c>
      <c r="H3" s="112" t="s">
        <v>74</v>
      </c>
      <c r="I3" s="104" t="s">
        <v>75</v>
      </c>
      <c r="J3" s="113" t="s">
        <v>76</v>
      </c>
    </row>
    <row r="4" spans="1:10" s="28" customFormat="1">
      <c r="A4" s="106"/>
      <c r="B4" s="108"/>
      <c r="C4" s="108"/>
      <c r="D4" s="109"/>
      <c r="E4" s="109"/>
      <c r="F4" s="111"/>
      <c r="G4" s="109"/>
      <c r="H4" s="112"/>
      <c r="I4" s="104"/>
      <c r="J4" s="113"/>
    </row>
    <row r="5" spans="1:10" s="30" customFormat="1">
      <c r="A5" s="38" t="s">
        <v>14</v>
      </c>
      <c r="B5" s="39" t="s">
        <v>188</v>
      </c>
      <c r="C5" s="38"/>
      <c r="D5" s="40"/>
      <c r="E5" s="40"/>
      <c r="F5" s="40"/>
      <c r="G5" s="40"/>
      <c r="H5" s="40"/>
      <c r="I5" s="40"/>
      <c r="J5" s="39"/>
    </row>
    <row r="6" spans="1:10" s="31" customFormat="1" outlineLevel="1">
      <c r="A6" s="41"/>
      <c r="B6" s="42" t="s">
        <v>78</v>
      </c>
      <c r="C6" s="43"/>
      <c r="D6" s="44"/>
      <c r="E6" s="44"/>
      <c r="F6" s="44"/>
      <c r="G6" s="44"/>
      <c r="H6" s="44"/>
      <c r="I6" s="44"/>
      <c r="J6" s="42"/>
    </row>
    <row r="7" spans="1:10" s="31" customFormat="1" ht="63" customHeight="1" outlineLevel="2">
      <c r="A7" s="43">
        <v>1</v>
      </c>
      <c r="B7" s="42" t="s">
        <v>79</v>
      </c>
      <c r="C7" s="43" t="s">
        <v>80</v>
      </c>
      <c r="D7" s="44">
        <f>284.95+15.47</f>
        <v>300.42</v>
      </c>
      <c r="E7" s="44">
        <v>0</v>
      </c>
      <c r="F7" s="44">
        <v>0</v>
      </c>
      <c r="G7" s="44">
        <v>0</v>
      </c>
      <c r="H7" s="44">
        <f t="shared" ref="H7:H11" si="0">E7+F7+G7</f>
        <v>0</v>
      </c>
      <c r="I7" s="44">
        <f t="shared" ref="I7:I11" si="1">H7*D7</f>
        <v>0</v>
      </c>
      <c r="J7" s="42" t="s">
        <v>81</v>
      </c>
    </row>
    <row r="8" spans="1:10" s="31" customFormat="1" ht="67.5" outlineLevel="2">
      <c r="A8" s="43">
        <v>2</v>
      </c>
      <c r="B8" s="42" t="s">
        <v>174</v>
      </c>
      <c r="C8" s="43" t="s">
        <v>80</v>
      </c>
      <c r="D8" s="44">
        <f>34.45+15.47</f>
        <v>49.92</v>
      </c>
      <c r="E8" s="44">
        <v>0</v>
      </c>
      <c r="F8" s="44">
        <v>0</v>
      </c>
      <c r="G8" s="44">
        <v>0</v>
      </c>
      <c r="H8" s="44">
        <f t="shared" si="0"/>
        <v>0</v>
      </c>
      <c r="I8" s="44">
        <f t="shared" si="1"/>
        <v>0</v>
      </c>
      <c r="J8" s="42" t="s">
        <v>175</v>
      </c>
    </row>
    <row r="9" spans="1:10" s="31" customFormat="1" ht="67.5" outlineLevel="2">
      <c r="A9" s="43">
        <v>3</v>
      </c>
      <c r="B9" s="42" t="s">
        <v>82</v>
      </c>
      <c r="C9" s="43" t="s">
        <v>80</v>
      </c>
      <c r="D9" s="44">
        <f>284.95-6.62-24.5</f>
        <v>253.83</v>
      </c>
      <c r="E9" s="44">
        <v>0</v>
      </c>
      <c r="F9" s="44">
        <v>0</v>
      </c>
      <c r="G9" s="44">
        <v>0</v>
      </c>
      <c r="H9" s="44">
        <f t="shared" si="0"/>
        <v>0</v>
      </c>
      <c r="I9" s="44">
        <f t="shared" si="1"/>
        <v>0</v>
      </c>
      <c r="J9" s="42" t="s">
        <v>189</v>
      </c>
    </row>
    <row r="10" spans="1:10" s="31" customFormat="1" ht="56.25" outlineLevel="2">
      <c r="A10" s="43">
        <v>4</v>
      </c>
      <c r="B10" s="42" t="s">
        <v>84</v>
      </c>
      <c r="C10" s="43" t="s">
        <v>85</v>
      </c>
      <c r="D10" s="44">
        <f>88.73+10</f>
        <v>98.73</v>
      </c>
      <c r="E10" s="44">
        <v>0</v>
      </c>
      <c r="F10" s="44">
        <v>0</v>
      </c>
      <c r="G10" s="44">
        <v>0</v>
      </c>
      <c r="H10" s="44">
        <f t="shared" si="0"/>
        <v>0</v>
      </c>
      <c r="I10" s="44">
        <f t="shared" si="1"/>
        <v>0</v>
      </c>
      <c r="J10" s="42" t="s">
        <v>86</v>
      </c>
    </row>
    <row r="11" spans="1:10" s="32" customFormat="1" ht="56.25" outlineLevel="2">
      <c r="A11" s="45">
        <v>5</v>
      </c>
      <c r="B11" s="42" t="s">
        <v>87</v>
      </c>
      <c r="C11" s="43" t="s">
        <v>85</v>
      </c>
      <c r="D11" s="44">
        <v>22</v>
      </c>
      <c r="E11" s="44">
        <v>0</v>
      </c>
      <c r="F11" s="44">
        <v>0</v>
      </c>
      <c r="G11" s="44">
        <v>0</v>
      </c>
      <c r="H11" s="44">
        <f t="shared" si="0"/>
        <v>0</v>
      </c>
      <c r="I11" s="44">
        <f t="shared" si="1"/>
        <v>0</v>
      </c>
      <c r="J11" s="42" t="s">
        <v>88</v>
      </c>
    </row>
    <row r="12" spans="1:10" s="31" customFormat="1" outlineLevel="1">
      <c r="A12" s="46"/>
      <c r="B12" s="42" t="s">
        <v>89</v>
      </c>
      <c r="C12" s="43"/>
      <c r="D12" s="44"/>
      <c r="E12" s="44"/>
      <c r="F12" s="44"/>
      <c r="G12" s="44"/>
      <c r="H12" s="44"/>
      <c r="I12" s="44"/>
      <c r="J12" s="42"/>
    </row>
    <row r="13" spans="1:10" s="33" customFormat="1" ht="67.5" outlineLevel="2">
      <c r="A13" s="47">
        <v>1</v>
      </c>
      <c r="B13" s="42" t="s">
        <v>90</v>
      </c>
      <c r="C13" s="47" t="s">
        <v>91</v>
      </c>
      <c r="D13" s="48">
        <f>88.73*2.15-4*2.7*2-3.2*2.15-4*2.15-1.4*3*2.15-0.8*2*2.15+12*0.8*2.2+22</f>
        <v>184.34</v>
      </c>
      <c r="E13" s="44">
        <v>0</v>
      </c>
      <c r="F13" s="44">
        <v>0</v>
      </c>
      <c r="G13" s="44">
        <v>0</v>
      </c>
      <c r="H13" s="44">
        <f>E13+F13+G13</f>
        <v>0</v>
      </c>
      <c r="I13" s="44">
        <f>H13*D13</f>
        <v>0</v>
      </c>
      <c r="J13" s="42" t="s">
        <v>92</v>
      </c>
    </row>
    <row r="14" spans="1:10" s="31" customFormat="1" ht="67.5" outlineLevel="2">
      <c r="A14" s="37">
        <v>2</v>
      </c>
      <c r="B14" s="42" t="s">
        <v>93</v>
      </c>
      <c r="C14" s="47" t="s">
        <v>91</v>
      </c>
      <c r="D14" s="48">
        <f>88.73*2.15-4*2.7*2-3.2*2.15-4*2.15-1.4*3*2.15-0.8*2*2.15+12*0.8*2.2</f>
        <v>162.34</v>
      </c>
      <c r="E14" s="44">
        <v>0</v>
      </c>
      <c r="F14" s="44">
        <v>0</v>
      </c>
      <c r="G14" s="44">
        <v>0</v>
      </c>
      <c r="H14" s="44">
        <f>E14+F14+G14</f>
        <v>0</v>
      </c>
      <c r="I14" s="44">
        <f>H14*D14</f>
        <v>0</v>
      </c>
      <c r="J14" s="42" t="s">
        <v>165</v>
      </c>
    </row>
    <row r="15" spans="1:10" s="31" customFormat="1" ht="67.5" outlineLevel="2">
      <c r="A15" s="47">
        <v>3</v>
      </c>
      <c r="B15" s="42" t="s">
        <v>95</v>
      </c>
      <c r="C15" s="47" t="s">
        <v>91</v>
      </c>
      <c r="D15" s="48">
        <v>4</v>
      </c>
      <c r="E15" s="44">
        <v>0</v>
      </c>
      <c r="F15" s="44">
        <v>0</v>
      </c>
      <c r="G15" s="44">
        <v>0</v>
      </c>
      <c r="H15" s="44">
        <f>E15+F15+G15</f>
        <v>0</v>
      </c>
      <c r="I15" s="44">
        <f>H15*D15</f>
        <v>0</v>
      </c>
      <c r="J15" s="42" t="s">
        <v>166</v>
      </c>
    </row>
    <row r="16" spans="1:10" s="31" customFormat="1" ht="56.25" outlineLevel="2">
      <c r="A16" s="47">
        <v>4</v>
      </c>
      <c r="B16" s="42" t="s">
        <v>104</v>
      </c>
      <c r="C16" s="43" t="s">
        <v>105</v>
      </c>
      <c r="D16" s="44">
        <v>4</v>
      </c>
      <c r="E16" s="44">
        <v>0</v>
      </c>
      <c r="F16" s="44">
        <v>0</v>
      </c>
      <c r="G16" s="44">
        <v>0</v>
      </c>
      <c r="H16" s="44">
        <f>E16+F16+G16</f>
        <v>0</v>
      </c>
      <c r="I16" s="44">
        <f>H16*D16</f>
        <v>0</v>
      </c>
      <c r="J16" s="42" t="s">
        <v>106</v>
      </c>
    </row>
    <row r="17" spans="1:10" s="31" customFormat="1" ht="56.25" outlineLevel="2">
      <c r="A17" s="37">
        <v>5</v>
      </c>
      <c r="B17" s="42" t="s">
        <v>107</v>
      </c>
      <c r="C17" s="47" t="s">
        <v>91</v>
      </c>
      <c r="D17" s="44">
        <f>1.4*2.15*2</f>
        <v>6.02</v>
      </c>
      <c r="E17" s="44">
        <v>0</v>
      </c>
      <c r="F17" s="44">
        <v>0</v>
      </c>
      <c r="G17" s="44">
        <v>0</v>
      </c>
      <c r="H17" s="44">
        <f>E17+F17+G17</f>
        <v>0</v>
      </c>
      <c r="I17" s="44">
        <f>H17*D17</f>
        <v>0</v>
      </c>
      <c r="J17" s="42" t="s">
        <v>190</v>
      </c>
    </row>
    <row r="18" spans="1:10" s="31" customFormat="1" outlineLevel="1">
      <c r="A18" s="46"/>
      <c r="B18" s="42" t="s">
        <v>109</v>
      </c>
      <c r="C18" s="43"/>
      <c r="D18" s="44"/>
      <c r="E18" s="44"/>
      <c r="F18" s="44"/>
      <c r="G18" s="44"/>
      <c r="H18" s="44"/>
      <c r="I18" s="44"/>
      <c r="J18" s="42"/>
    </row>
    <row r="19" spans="1:10" s="31" customFormat="1" ht="45" outlineLevel="2">
      <c r="A19" s="43">
        <v>1</v>
      </c>
      <c r="B19" s="42" t="s">
        <v>136</v>
      </c>
      <c r="C19" s="43" t="s">
        <v>80</v>
      </c>
      <c r="D19" s="44">
        <f>284.95-56.68</f>
        <v>228.27</v>
      </c>
      <c r="E19" s="44">
        <v>0</v>
      </c>
      <c r="F19" s="44">
        <v>0</v>
      </c>
      <c r="G19" s="44">
        <v>0</v>
      </c>
      <c r="H19" s="44">
        <f>E19+F19+G19</f>
        <v>0</v>
      </c>
      <c r="I19" s="44">
        <f>H19*D19</f>
        <v>0</v>
      </c>
      <c r="J19" s="42" t="s">
        <v>111</v>
      </c>
    </row>
    <row r="20" spans="1:10" s="31" customFormat="1" ht="45" outlineLevel="2">
      <c r="A20" s="37">
        <v>2</v>
      </c>
      <c r="B20" s="42" t="s">
        <v>112</v>
      </c>
      <c r="C20" s="43" t="s">
        <v>80</v>
      </c>
      <c r="D20" s="44">
        <f>4.74+4.4+1.28*0.45*7*2</f>
        <v>17.2</v>
      </c>
      <c r="E20" s="44">
        <v>0</v>
      </c>
      <c r="F20" s="44">
        <v>0</v>
      </c>
      <c r="G20" s="44">
        <v>0</v>
      </c>
      <c r="H20" s="44">
        <f>E20+F20+G20</f>
        <v>0</v>
      </c>
      <c r="I20" s="44">
        <f>H20*D20</f>
        <v>0</v>
      </c>
      <c r="J20" s="42" t="s">
        <v>111</v>
      </c>
    </row>
    <row r="21" spans="1:10" s="31" customFormat="1" ht="45" outlineLevel="2">
      <c r="A21" s="37">
        <v>3</v>
      </c>
      <c r="B21" s="42" t="s">
        <v>113</v>
      </c>
      <c r="C21" s="43" t="s">
        <v>80</v>
      </c>
      <c r="D21" s="44">
        <f>2.34*0.65*2</f>
        <v>3.04</v>
      </c>
      <c r="E21" s="44">
        <v>0</v>
      </c>
      <c r="F21" s="44">
        <v>0</v>
      </c>
      <c r="G21" s="44">
        <v>0</v>
      </c>
      <c r="H21" s="44">
        <f>E21+F21+G21</f>
        <v>0</v>
      </c>
      <c r="I21" s="44">
        <f>H21*D21</f>
        <v>0</v>
      </c>
      <c r="J21" s="42" t="s">
        <v>114</v>
      </c>
    </row>
    <row r="22" spans="1:10" s="33" customFormat="1" ht="19.899999999999999" customHeight="1" outlineLevel="2">
      <c r="A22" s="49"/>
      <c r="B22" s="42" t="s">
        <v>115</v>
      </c>
      <c r="C22" s="47"/>
      <c r="D22" s="48"/>
      <c r="E22" s="44"/>
      <c r="F22" s="44"/>
      <c r="G22" s="44"/>
      <c r="H22" s="44"/>
      <c r="I22" s="44">
        <f>SUM(I7:I21)</f>
        <v>0</v>
      </c>
      <c r="J22" s="42"/>
    </row>
    <row r="23" spans="1:10" s="30" customFormat="1">
      <c r="A23" s="51" t="s">
        <v>25</v>
      </c>
      <c r="B23" s="39" t="s">
        <v>191</v>
      </c>
      <c r="C23" s="38"/>
      <c r="D23" s="40"/>
      <c r="E23" s="40"/>
      <c r="F23" s="40"/>
      <c r="G23" s="40"/>
      <c r="H23" s="40"/>
      <c r="I23" s="40"/>
      <c r="J23" s="39"/>
    </row>
    <row r="24" spans="1:10" s="31" customFormat="1" outlineLevel="1">
      <c r="A24" s="38"/>
      <c r="B24" s="42" t="s">
        <v>78</v>
      </c>
      <c r="C24" s="43"/>
      <c r="D24" s="44"/>
      <c r="E24" s="44"/>
      <c r="F24" s="44"/>
      <c r="G24" s="44"/>
      <c r="H24" s="44"/>
      <c r="I24" s="44"/>
      <c r="J24" s="42"/>
    </row>
    <row r="25" spans="1:10" s="31" customFormat="1" ht="63" customHeight="1" outlineLevel="2">
      <c r="A25" s="43">
        <v>1</v>
      </c>
      <c r="B25" s="42" t="s">
        <v>79</v>
      </c>
      <c r="C25" s="43" t="s">
        <v>80</v>
      </c>
      <c r="D25" s="44">
        <v>8.9499999999999993</v>
      </c>
      <c r="E25" s="44">
        <v>0</v>
      </c>
      <c r="F25" s="44">
        <v>0</v>
      </c>
      <c r="G25" s="44">
        <v>0</v>
      </c>
      <c r="H25" s="44">
        <f t="shared" ref="H25:H28" si="2">E25+F25+G25</f>
        <v>0</v>
      </c>
      <c r="I25" s="44">
        <f t="shared" ref="I25:I28" si="3">H25*D25</f>
        <v>0</v>
      </c>
      <c r="J25" s="42" t="s">
        <v>81</v>
      </c>
    </row>
    <row r="26" spans="1:10" s="31" customFormat="1" ht="67.5" outlineLevel="2">
      <c r="A26" s="43">
        <v>3</v>
      </c>
      <c r="B26" s="42" t="s">
        <v>117</v>
      </c>
      <c r="C26" s="43" t="s">
        <v>80</v>
      </c>
      <c r="D26" s="44">
        <v>8.9499999999999993</v>
      </c>
      <c r="E26" s="44">
        <v>0</v>
      </c>
      <c r="F26" s="44">
        <v>0</v>
      </c>
      <c r="G26" s="44">
        <v>0</v>
      </c>
      <c r="H26" s="44">
        <f t="shared" si="2"/>
        <v>0</v>
      </c>
      <c r="I26" s="44">
        <f t="shared" si="3"/>
        <v>0</v>
      </c>
      <c r="J26" s="42" t="s">
        <v>118</v>
      </c>
    </row>
    <row r="27" spans="1:10" s="31" customFormat="1" ht="56.25" outlineLevel="2">
      <c r="A27" s="43">
        <v>4</v>
      </c>
      <c r="B27" s="42" t="s">
        <v>84</v>
      </c>
      <c r="C27" s="43" t="s">
        <v>85</v>
      </c>
      <c r="D27" s="44">
        <v>11.99</v>
      </c>
      <c r="E27" s="44">
        <v>0</v>
      </c>
      <c r="F27" s="44">
        <v>0</v>
      </c>
      <c r="G27" s="44">
        <v>0</v>
      </c>
      <c r="H27" s="44">
        <f t="shared" si="2"/>
        <v>0</v>
      </c>
      <c r="I27" s="44">
        <f t="shared" si="3"/>
        <v>0</v>
      </c>
      <c r="J27" s="42" t="s">
        <v>119</v>
      </c>
    </row>
    <row r="28" spans="1:10" s="32" customFormat="1" ht="56.25" outlineLevel="2">
      <c r="A28" s="43">
        <v>5</v>
      </c>
      <c r="B28" s="42" t="s">
        <v>120</v>
      </c>
      <c r="C28" s="43" t="s">
        <v>121</v>
      </c>
      <c r="D28" s="44">
        <v>1</v>
      </c>
      <c r="E28" s="44">
        <v>0</v>
      </c>
      <c r="F28" s="44">
        <v>0</v>
      </c>
      <c r="G28" s="44">
        <v>0</v>
      </c>
      <c r="H28" s="44">
        <f t="shared" si="2"/>
        <v>0</v>
      </c>
      <c r="I28" s="44">
        <f t="shared" si="3"/>
        <v>0</v>
      </c>
      <c r="J28" s="42" t="s">
        <v>88</v>
      </c>
    </row>
    <row r="29" spans="1:10" s="31" customFormat="1" outlineLevel="1">
      <c r="A29" s="43"/>
      <c r="B29" s="42" t="s">
        <v>89</v>
      </c>
      <c r="C29" s="43"/>
      <c r="D29" s="44"/>
      <c r="E29" s="44"/>
      <c r="F29" s="44"/>
      <c r="G29" s="44"/>
      <c r="H29" s="44"/>
      <c r="I29" s="44"/>
      <c r="J29" s="42"/>
    </row>
    <row r="30" spans="1:10" s="33" customFormat="1" ht="67.5" outlineLevel="2">
      <c r="A30" s="47">
        <v>1</v>
      </c>
      <c r="B30" s="42" t="s">
        <v>90</v>
      </c>
      <c r="C30" s="47" t="s">
        <v>91</v>
      </c>
      <c r="D30" s="48">
        <v>20.38</v>
      </c>
      <c r="E30" s="44">
        <v>0</v>
      </c>
      <c r="F30" s="44">
        <v>0</v>
      </c>
      <c r="G30" s="44">
        <v>0</v>
      </c>
      <c r="H30" s="44">
        <f>E30+F30+G30</f>
        <v>0</v>
      </c>
      <c r="I30" s="44">
        <f>H30*D30</f>
        <v>0</v>
      </c>
      <c r="J30" s="42" t="s">
        <v>92</v>
      </c>
    </row>
    <row r="31" spans="1:10" s="31" customFormat="1" ht="146.25" outlineLevel="2">
      <c r="A31" s="47">
        <v>2</v>
      </c>
      <c r="B31" s="42" t="s">
        <v>122</v>
      </c>
      <c r="C31" s="47" t="s">
        <v>91</v>
      </c>
      <c r="D31" s="48">
        <v>20.38</v>
      </c>
      <c r="E31" s="44">
        <v>0</v>
      </c>
      <c r="F31" s="44">
        <v>0</v>
      </c>
      <c r="G31" s="44">
        <v>0</v>
      </c>
      <c r="H31" s="44">
        <f>E31+F31+G31</f>
        <v>0</v>
      </c>
      <c r="I31" s="44">
        <f>H31*D31</f>
        <v>0</v>
      </c>
      <c r="J31" s="42" t="s">
        <v>123</v>
      </c>
    </row>
    <row r="32" spans="1:10" s="31" customFormat="1" ht="56.25" outlineLevel="2">
      <c r="A32" s="45">
        <v>3</v>
      </c>
      <c r="B32" s="42" t="s">
        <v>104</v>
      </c>
      <c r="C32" s="43" t="s">
        <v>105</v>
      </c>
      <c r="D32" s="44">
        <v>1</v>
      </c>
      <c r="E32" s="44">
        <v>0</v>
      </c>
      <c r="F32" s="44">
        <v>0</v>
      </c>
      <c r="G32" s="44">
        <v>0</v>
      </c>
      <c r="H32" s="44">
        <f>E32+F32+G32</f>
        <v>0</v>
      </c>
      <c r="I32" s="44">
        <f>H32*D32</f>
        <v>0</v>
      </c>
      <c r="J32" s="42" t="s">
        <v>124</v>
      </c>
    </row>
    <row r="33" spans="1:10" s="50" customFormat="1" ht="19.899999999999999" customHeight="1" outlineLevel="2">
      <c r="A33" s="49"/>
      <c r="B33" s="42" t="s">
        <v>115</v>
      </c>
      <c r="C33" s="47"/>
      <c r="D33" s="48"/>
      <c r="E33" s="44"/>
      <c r="F33" s="44"/>
      <c r="G33" s="44"/>
      <c r="H33" s="44"/>
      <c r="I33" s="44">
        <f>SUM(I25:I32)</f>
        <v>0</v>
      </c>
      <c r="J33" s="42"/>
    </row>
    <row r="34" spans="1:10" s="30" customFormat="1">
      <c r="A34" s="38" t="s">
        <v>30</v>
      </c>
      <c r="B34" s="39" t="s">
        <v>192</v>
      </c>
      <c r="C34" s="38"/>
      <c r="D34" s="40"/>
      <c r="E34" s="40"/>
      <c r="F34" s="40"/>
      <c r="G34" s="40"/>
      <c r="H34" s="40"/>
      <c r="I34" s="40"/>
      <c r="J34" s="39"/>
    </row>
    <row r="35" spans="1:10" s="31" customFormat="1" outlineLevel="1">
      <c r="A35" s="47"/>
      <c r="B35" s="42" t="s">
        <v>78</v>
      </c>
      <c r="C35" s="43"/>
      <c r="D35" s="44"/>
      <c r="E35" s="44"/>
      <c r="F35" s="44"/>
      <c r="G35" s="44"/>
      <c r="H35" s="44"/>
      <c r="I35" s="44"/>
      <c r="J35" s="42"/>
    </row>
    <row r="36" spans="1:10" s="31" customFormat="1" ht="67.5" outlineLevel="2">
      <c r="A36" s="37">
        <v>1</v>
      </c>
      <c r="B36" s="42" t="s">
        <v>79</v>
      </c>
      <c r="C36" s="43" t="s">
        <v>80</v>
      </c>
      <c r="D36" s="44">
        <v>8.9499999999999993</v>
      </c>
      <c r="E36" s="44">
        <v>0</v>
      </c>
      <c r="F36" s="44">
        <v>0</v>
      </c>
      <c r="G36" s="44">
        <v>0</v>
      </c>
      <c r="H36" s="44">
        <f t="shared" ref="H36:H39" si="4">E36+F36+G36</f>
        <v>0</v>
      </c>
      <c r="I36" s="44">
        <f t="shared" ref="I36:I39" si="5">H36*D36</f>
        <v>0</v>
      </c>
      <c r="J36" s="42" t="s">
        <v>81</v>
      </c>
    </row>
    <row r="37" spans="1:10" s="31" customFormat="1" ht="67.5" outlineLevel="2">
      <c r="A37" s="47">
        <v>2</v>
      </c>
      <c r="B37" s="42" t="s">
        <v>127</v>
      </c>
      <c r="C37" s="43" t="s">
        <v>80</v>
      </c>
      <c r="D37" s="44">
        <v>8.9499999999999993</v>
      </c>
      <c r="E37" s="44">
        <v>0</v>
      </c>
      <c r="F37" s="44">
        <v>0</v>
      </c>
      <c r="G37" s="44">
        <v>0</v>
      </c>
      <c r="H37" s="44">
        <f t="shared" si="4"/>
        <v>0</v>
      </c>
      <c r="I37" s="44">
        <f t="shared" si="5"/>
        <v>0</v>
      </c>
      <c r="J37" s="42" t="s">
        <v>178</v>
      </c>
    </row>
    <row r="38" spans="1:10" s="31" customFormat="1" ht="56.25" outlineLevel="2">
      <c r="A38" s="37">
        <v>3</v>
      </c>
      <c r="B38" s="42" t="s">
        <v>84</v>
      </c>
      <c r="C38" s="43" t="s">
        <v>85</v>
      </c>
      <c r="D38" s="44">
        <v>11.99</v>
      </c>
      <c r="E38" s="44">
        <v>0</v>
      </c>
      <c r="F38" s="44">
        <v>0</v>
      </c>
      <c r="G38" s="44">
        <v>0</v>
      </c>
      <c r="H38" s="44">
        <f t="shared" si="4"/>
        <v>0</v>
      </c>
      <c r="I38" s="44">
        <f t="shared" si="5"/>
        <v>0</v>
      </c>
      <c r="J38" s="42" t="s">
        <v>129</v>
      </c>
    </row>
    <row r="39" spans="1:10" s="32" customFormat="1" ht="56.25" outlineLevel="2">
      <c r="A39" s="47">
        <v>4</v>
      </c>
      <c r="B39" s="42" t="s">
        <v>130</v>
      </c>
      <c r="C39" s="43" t="s">
        <v>121</v>
      </c>
      <c r="D39" s="44">
        <v>3</v>
      </c>
      <c r="E39" s="44">
        <v>0</v>
      </c>
      <c r="F39" s="44">
        <v>0</v>
      </c>
      <c r="G39" s="44">
        <v>0</v>
      </c>
      <c r="H39" s="44">
        <f t="shared" si="4"/>
        <v>0</v>
      </c>
      <c r="I39" s="44">
        <f t="shared" si="5"/>
        <v>0</v>
      </c>
      <c r="J39" s="42" t="s">
        <v>131</v>
      </c>
    </row>
    <row r="40" spans="1:10" s="31" customFormat="1" outlineLevel="1">
      <c r="A40" s="37"/>
      <c r="B40" s="42" t="s">
        <v>89</v>
      </c>
      <c r="C40" s="43"/>
      <c r="D40" s="44"/>
      <c r="E40" s="44"/>
      <c r="F40" s="44"/>
      <c r="G40" s="44"/>
      <c r="H40" s="44"/>
      <c r="I40" s="44"/>
      <c r="J40" s="42"/>
    </row>
    <row r="41" spans="1:10" s="33" customFormat="1" ht="67.5" outlineLevel="2">
      <c r="A41" s="47">
        <v>1</v>
      </c>
      <c r="B41" s="42" t="s">
        <v>90</v>
      </c>
      <c r="C41" s="47" t="s">
        <v>91</v>
      </c>
      <c r="D41" s="48">
        <v>20.38</v>
      </c>
      <c r="E41" s="44">
        <v>0</v>
      </c>
      <c r="F41" s="44">
        <v>0</v>
      </c>
      <c r="G41" s="44">
        <v>0</v>
      </c>
      <c r="H41" s="44">
        <f>E41+F41+G41</f>
        <v>0</v>
      </c>
      <c r="I41" s="44">
        <f>H41*D41</f>
        <v>0</v>
      </c>
      <c r="J41" s="42" t="s">
        <v>92</v>
      </c>
    </row>
    <row r="42" spans="1:10" s="31" customFormat="1" ht="56.25" outlineLevel="2">
      <c r="A42" s="37">
        <v>2</v>
      </c>
      <c r="B42" s="42" t="s">
        <v>132</v>
      </c>
      <c r="C42" s="47" t="s">
        <v>91</v>
      </c>
      <c r="D42" s="48">
        <f>D41</f>
        <v>20.38</v>
      </c>
      <c r="E42" s="44">
        <v>0</v>
      </c>
      <c r="F42" s="44">
        <v>0</v>
      </c>
      <c r="G42" s="44">
        <v>0</v>
      </c>
      <c r="H42" s="44">
        <f>E42+F42+G42</f>
        <v>0</v>
      </c>
      <c r="I42" s="44">
        <f>H42*D42</f>
        <v>0</v>
      </c>
      <c r="J42" s="42" t="s">
        <v>193</v>
      </c>
    </row>
    <row r="43" spans="1:10" s="31" customFormat="1" ht="56.25" outlineLevel="2">
      <c r="A43" s="47">
        <v>3</v>
      </c>
      <c r="B43" s="42" t="s">
        <v>180</v>
      </c>
      <c r="C43" s="43" t="s">
        <v>105</v>
      </c>
      <c r="D43" s="44">
        <v>1</v>
      </c>
      <c r="E43" s="44">
        <v>0</v>
      </c>
      <c r="F43" s="44">
        <v>0</v>
      </c>
      <c r="G43" s="44">
        <v>0</v>
      </c>
      <c r="H43" s="44">
        <f>E43+F43+G43</f>
        <v>0</v>
      </c>
      <c r="I43" s="44">
        <f>H43*D43</f>
        <v>0</v>
      </c>
      <c r="J43" s="42" t="s">
        <v>181</v>
      </c>
    </row>
    <row r="44" spans="1:10" s="31" customFormat="1" outlineLevel="1">
      <c r="A44" s="47"/>
      <c r="B44" s="42" t="s">
        <v>109</v>
      </c>
      <c r="C44" s="43"/>
      <c r="D44" s="44"/>
      <c r="E44" s="44"/>
      <c r="F44" s="44"/>
      <c r="G44" s="44"/>
      <c r="H44" s="44"/>
      <c r="I44" s="44"/>
      <c r="J44" s="42"/>
    </row>
    <row r="45" spans="1:10" s="31" customFormat="1" ht="45" outlineLevel="2">
      <c r="A45" s="47">
        <v>1</v>
      </c>
      <c r="B45" s="42" t="s">
        <v>134</v>
      </c>
      <c r="C45" s="47" t="s">
        <v>91</v>
      </c>
      <c r="D45" s="44">
        <f>8.95*1.2</f>
        <v>10.74</v>
      </c>
      <c r="E45" s="44">
        <v>0</v>
      </c>
      <c r="F45" s="44">
        <v>0</v>
      </c>
      <c r="G45" s="44">
        <v>0</v>
      </c>
      <c r="H45" s="44">
        <f>E45+F45+G45</f>
        <v>0</v>
      </c>
      <c r="I45" s="44">
        <f>H45*D45</f>
        <v>0</v>
      </c>
      <c r="J45" s="42" t="s">
        <v>135</v>
      </c>
    </row>
    <row r="46" spans="1:10" s="31" customFormat="1" ht="56.25" outlineLevel="2">
      <c r="A46" s="37">
        <v>2</v>
      </c>
      <c r="B46" s="42" t="s">
        <v>136</v>
      </c>
      <c r="C46" s="43" t="s">
        <v>80</v>
      </c>
      <c r="D46" s="44">
        <v>8.9499999999999993</v>
      </c>
      <c r="E46" s="44">
        <v>0</v>
      </c>
      <c r="F46" s="44">
        <v>0</v>
      </c>
      <c r="G46" s="44">
        <v>0</v>
      </c>
      <c r="H46" s="44">
        <f>E46+F46+G46</f>
        <v>0</v>
      </c>
      <c r="I46" s="44">
        <f>H46*D46</f>
        <v>0</v>
      </c>
      <c r="J46" s="42" t="s">
        <v>137</v>
      </c>
    </row>
    <row r="47" spans="1:10" s="33" customFormat="1" ht="36.950000000000003" customHeight="1" outlineLevel="2">
      <c r="A47" s="47">
        <v>3</v>
      </c>
      <c r="B47" s="42" t="s">
        <v>138</v>
      </c>
      <c r="C47" s="47" t="s">
        <v>121</v>
      </c>
      <c r="D47" s="48">
        <v>1</v>
      </c>
      <c r="E47" s="44">
        <v>0</v>
      </c>
      <c r="F47" s="44">
        <v>0</v>
      </c>
      <c r="G47" s="44">
        <v>0</v>
      </c>
      <c r="H47" s="44">
        <f t="shared" ref="H47:H53" si="6">G47+F47+E47</f>
        <v>0</v>
      </c>
      <c r="I47" s="44">
        <f>H47*D47</f>
        <v>0</v>
      </c>
      <c r="J47" s="42" t="s">
        <v>139</v>
      </c>
    </row>
    <row r="48" spans="1:10" s="31" customFormat="1" outlineLevel="1">
      <c r="A48" s="37"/>
      <c r="B48" s="42" t="s">
        <v>140</v>
      </c>
      <c r="C48" s="43"/>
      <c r="D48" s="44"/>
      <c r="E48" s="44"/>
      <c r="F48" s="44"/>
      <c r="G48" s="44"/>
      <c r="H48" s="44"/>
      <c r="I48" s="44"/>
      <c r="J48" s="42"/>
    </row>
    <row r="49" spans="1:10" s="33" customFormat="1" ht="41.1" customHeight="1" outlineLevel="2">
      <c r="A49" s="47">
        <v>1</v>
      </c>
      <c r="B49" s="42" t="s">
        <v>141</v>
      </c>
      <c r="C49" s="47" t="s">
        <v>121</v>
      </c>
      <c r="D49" s="48">
        <v>1</v>
      </c>
      <c r="E49" s="44">
        <v>0</v>
      </c>
      <c r="F49" s="44">
        <v>0</v>
      </c>
      <c r="G49" s="44">
        <v>0</v>
      </c>
      <c r="H49" s="44">
        <f t="shared" si="6"/>
        <v>0</v>
      </c>
      <c r="I49" s="44">
        <f t="shared" ref="I49:I53" si="7">H49*D49</f>
        <v>0</v>
      </c>
      <c r="J49" s="42" t="s">
        <v>142</v>
      </c>
    </row>
    <row r="50" spans="1:10" s="33" customFormat="1" ht="21.95" customHeight="1" outlineLevel="2">
      <c r="A50" s="37">
        <v>2</v>
      </c>
      <c r="B50" s="42" t="s">
        <v>143</v>
      </c>
      <c r="C50" s="47" t="s">
        <v>144</v>
      </c>
      <c r="D50" s="48">
        <v>1</v>
      </c>
      <c r="E50" s="44">
        <v>0</v>
      </c>
      <c r="F50" s="44">
        <v>0</v>
      </c>
      <c r="G50" s="44">
        <v>0</v>
      </c>
      <c r="H50" s="44">
        <f t="shared" si="6"/>
        <v>0</v>
      </c>
      <c r="I50" s="44">
        <f t="shared" si="7"/>
        <v>0</v>
      </c>
      <c r="J50" s="42" t="s">
        <v>145</v>
      </c>
    </row>
    <row r="51" spans="1:10" s="33" customFormat="1" ht="30" customHeight="1" outlineLevel="2">
      <c r="A51" s="47">
        <v>3</v>
      </c>
      <c r="B51" s="42" t="s">
        <v>146</v>
      </c>
      <c r="C51" s="47" t="s">
        <v>121</v>
      </c>
      <c r="D51" s="48">
        <v>3</v>
      </c>
      <c r="E51" s="44">
        <v>0</v>
      </c>
      <c r="F51" s="44">
        <v>0</v>
      </c>
      <c r="G51" s="44">
        <v>0</v>
      </c>
      <c r="H51" s="44">
        <f t="shared" si="6"/>
        <v>0</v>
      </c>
      <c r="I51" s="44">
        <f t="shared" si="7"/>
        <v>0</v>
      </c>
      <c r="J51" s="42" t="s">
        <v>147</v>
      </c>
    </row>
    <row r="52" spans="1:10" s="33" customFormat="1" ht="30.95" customHeight="1" outlineLevel="2">
      <c r="A52" s="37">
        <v>4</v>
      </c>
      <c r="B52" s="42" t="s">
        <v>148</v>
      </c>
      <c r="C52" s="47" t="s">
        <v>121</v>
      </c>
      <c r="D52" s="48">
        <v>3</v>
      </c>
      <c r="E52" s="44">
        <v>0</v>
      </c>
      <c r="F52" s="44">
        <v>0</v>
      </c>
      <c r="G52" s="44">
        <v>0</v>
      </c>
      <c r="H52" s="44">
        <f t="shared" si="6"/>
        <v>0</v>
      </c>
      <c r="I52" s="44">
        <f t="shared" si="7"/>
        <v>0</v>
      </c>
      <c r="J52" s="42" t="s">
        <v>149</v>
      </c>
    </row>
    <row r="53" spans="1:10" s="33" customFormat="1" ht="30.95" customHeight="1" outlineLevel="2">
      <c r="A53" s="47">
        <v>5</v>
      </c>
      <c r="B53" s="42" t="s">
        <v>150</v>
      </c>
      <c r="C53" s="47" t="s">
        <v>121</v>
      </c>
      <c r="D53" s="48">
        <v>3</v>
      </c>
      <c r="E53" s="44">
        <v>0</v>
      </c>
      <c r="F53" s="44">
        <v>0</v>
      </c>
      <c r="G53" s="44">
        <v>0</v>
      </c>
      <c r="H53" s="44">
        <f t="shared" si="6"/>
        <v>0</v>
      </c>
      <c r="I53" s="44">
        <f t="shared" si="7"/>
        <v>0</v>
      </c>
      <c r="J53" s="42" t="s">
        <v>151</v>
      </c>
    </row>
    <row r="54" spans="1:10" s="33" customFormat="1" ht="19.899999999999999" customHeight="1" outlineLevel="2">
      <c r="A54" s="47"/>
      <c r="B54" s="42" t="s">
        <v>115</v>
      </c>
      <c r="C54" s="47"/>
      <c r="D54" s="48"/>
      <c r="E54" s="44"/>
      <c r="F54" s="44"/>
      <c r="G54" s="44"/>
      <c r="H54" s="44"/>
      <c r="I54" s="44">
        <f>SUM(I42:I53)</f>
        <v>0</v>
      </c>
      <c r="J54" s="42"/>
    </row>
    <row r="55" spans="1:10" s="30" customFormat="1">
      <c r="A55" s="47" t="s">
        <v>36</v>
      </c>
      <c r="B55" s="39" t="s">
        <v>21</v>
      </c>
      <c r="C55" s="38"/>
      <c r="D55" s="40"/>
      <c r="E55" s="40"/>
      <c r="F55" s="40"/>
      <c r="G55" s="40"/>
      <c r="H55" s="40"/>
      <c r="I55" s="40"/>
      <c r="J55" s="39"/>
    </row>
    <row r="56" spans="1:10" s="31" customFormat="1" outlineLevel="1">
      <c r="A56" s="37"/>
      <c r="B56" s="42" t="s">
        <v>78</v>
      </c>
      <c r="C56" s="43"/>
      <c r="D56" s="44"/>
      <c r="E56" s="44"/>
      <c r="F56" s="44"/>
      <c r="G56" s="44"/>
      <c r="H56" s="44"/>
      <c r="I56" s="44"/>
      <c r="J56" s="42"/>
    </row>
    <row r="57" spans="1:10" s="31" customFormat="1" ht="67.5" outlineLevel="2">
      <c r="A57" s="43">
        <v>1</v>
      </c>
      <c r="B57" s="42" t="s">
        <v>79</v>
      </c>
      <c r="C57" s="43" t="s">
        <v>80</v>
      </c>
      <c r="D57" s="44">
        <v>35.65</v>
      </c>
      <c r="E57" s="44">
        <v>0</v>
      </c>
      <c r="F57" s="44">
        <v>0</v>
      </c>
      <c r="G57" s="44">
        <v>0</v>
      </c>
      <c r="H57" s="44">
        <f t="shared" ref="H57:H60" si="8">E57+F57+G57</f>
        <v>0</v>
      </c>
      <c r="I57" s="44">
        <f>H57*D57</f>
        <v>0</v>
      </c>
      <c r="J57" s="42" t="s">
        <v>81</v>
      </c>
    </row>
    <row r="58" spans="1:10" s="31" customFormat="1" ht="67.5" outlineLevel="2">
      <c r="A58" s="43">
        <v>2</v>
      </c>
      <c r="B58" s="42" t="s">
        <v>152</v>
      </c>
      <c r="C58" s="43" t="s">
        <v>80</v>
      </c>
      <c r="D58" s="44">
        <v>35.65</v>
      </c>
      <c r="E58" s="44">
        <v>0</v>
      </c>
      <c r="F58" s="44">
        <v>0</v>
      </c>
      <c r="G58" s="44">
        <v>0</v>
      </c>
      <c r="H58" s="44">
        <f t="shared" si="8"/>
        <v>0</v>
      </c>
      <c r="I58" s="44">
        <f>H58*D58</f>
        <v>0</v>
      </c>
      <c r="J58" s="42" t="s">
        <v>153</v>
      </c>
    </row>
    <row r="59" spans="1:10" s="31" customFormat="1" ht="56.25" outlineLevel="2">
      <c r="A59" s="43">
        <v>3</v>
      </c>
      <c r="B59" s="42" t="s">
        <v>84</v>
      </c>
      <c r="C59" s="43" t="s">
        <v>85</v>
      </c>
      <c r="D59" s="44">
        <v>27.57</v>
      </c>
      <c r="E59" s="44">
        <v>0</v>
      </c>
      <c r="F59" s="44">
        <v>0</v>
      </c>
      <c r="G59" s="44">
        <v>0</v>
      </c>
      <c r="H59" s="44">
        <f t="shared" si="8"/>
        <v>0</v>
      </c>
      <c r="I59" s="44">
        <f>H59*D59</f>
        <v>0</v>
      </c>
      <c r="J59" s="42" t="s">
        <v>129</v>
      </c>
    </row>
    <row r="60" spans="1:10" s="32" customFormat="1" ht="56.25" outlineLevel="2">
      <c r="A60" s="43">
        <v>4</v>
      </c>
      <c r="B60" s="42" t="s">
        <v>120</v>
      </c>
      <c r="C60" s="43" t="s">
        <v>121</v>
      </c>
      <c r="D60" s="44">
        <v>1</v>
      </c>
      <c r="E60" s="44">
        <v>0</v>
      </c>
      <c r="F60" s="44">
        <v>0</v>
      </c>
      <c r="G60" s="44">
        <v>0</v>
      </c>
      <c r="H60" s="44">
        <f t="shared" si="8"/>
        <v>0</v>
      </c>
      <c r="I60" s="44">
        <f>H60*D60</f>
        <v>0</v>
      </c>
      <c r="J60" s="42" t="s">
        <v>88</v>
      </c>
    </row>
    <row r="61" spans="1:10" s="31" customFormat="1" outlineLevel="1">
      <c r="A61" s="43"/>
      <c r="B61" s="42" t="s">
        <v>89</v>
      </c>
      <c r="C61" s="43"/>
      <c r="D61" s="44"/>
      <c r="E61" s="44"/>
      <c r="F61" s="44"/>
      <c r="G61" s="44"/>
      <c r="H61" s="44"/>
      <c r="I61" s="44"/>
      <c r="J61" s="42"/>
    </row>
    <row r="62" spans="1:10" s="33" customFormat="1" ht="67.5" outlineLevel="2">
      <c r="A62" s="47">
        <v>1</v>
      </c>
      <c r="B62" s="42" t="s">
        <v>90</v>
      </c>
      <c r="C62" s="47" t="s">
        <v>91</v>
      </c>
      <c r="D62" s="48">
        <f>(27.57-1.4-0.8-1.6)*2.4</f>
        <v>57.05</v>
      </c>
      <c r="E62" s="44">
        <v>0</v>
      </c>
      <c r="F62" s="44">
        <v>0</v>
      </c>
      <c r="G62" s="44">
        <v>0</v>
      </c>
      <c r="H62" s="44">
        <f>E62+F62+G62</f>
        <v>0</v>
      </c>
      <c r="I62" s="44">
        <f>H62*D62</f>
        <v>0</v>
      </c>
      <c r="J62" s="42" t="s">
        <v>92</v>
      </c>
    </row>
    <row r="63" spans="1:10" s="31" customFormat="1" ht="146.25" outlineLevel="2">
      <c r="A63" s="47">
        <v>2</v>
      </c>
      <c r="B63" s="42" t="s">
        <v>154</v>
      </c>
      <c r="C63" s="47" t="s">
        <v>91</v>
      </c>
      <c r="D63" s="48">
        <f>(27.57-1.4-0.8-1.6)*2.4</f>
        <v>57.05</v>
      </c>
      <c r="E63" s="44">
        <v>0</v>
      </c>
      <c r="F63" s="44">
        <v>0</v>
      </c>
      <c r="G63" s="44">
        <v>0</v>
      </c>
      <c r="H63" s="44">
        <f>E63+F63+G63</f>
        <v>0</v>
      </c>
      <c r="I63" s="44">
        <f>H63*D63</f>
        <v>0</v>
      </c>
      <c r="J63" s="42" t="s">
        <v>155</v>
      </c>
    </row>
    <row r="64" spans="1:10" s="31" customFormat="1" ht="56.25" outlineLevel="2">
      <c r="A64" s="43">
        <v>3</v>
      </c>
      <c r="B64" s="42" t="s">
        <v>156</v>
      </c>
      <c r="C64" s="43" t="s">
        <v>105</v>
      </c>
      <c r="D64" s="44">
        <v>4</v>
      </c>
      <c r="E64" s="44">
        <v>0</v>
      </c>
      <c r="F64" s="44">
        <v>0</v>
      </c>
      <c r="G64" s="44">
        <v>0</v>
      </c>
      <c r="H64" s="44">
        <f>E64+F64+G64</f>
        <v>0</v>
      </c>
      <c r="I64" s="44">
        <f>H64*D64</f>
        <v>0</v>
      </c>
      <c r="J64" s="42" t="s">
        <v>157</v>
      </c>
    </row>
    <row r="65" spans="1:10" s="31" customFormat="1" outlineLevel="1">
      <c r="A65" s="43"/>
      <c r="B65" s="42" t="s">
        <v>109</v>
      </c>
      <c r="C65" s="43"/>
      <c r="D65" s="44"/>
      <c r="E65" s="44"/>
      <c r="F65" s="44"/>
      <c r="G65" s="44"/>
      <c r="H65" s="44"/>
      <c r="I65" s="44"/>
      <c r="J65" s="42"/>
    </row>
    <row r="66" spans="1:10" s="31" customFormat="1" ht="56.25" outlineLevel="2">
      <c r="A66" s="43">
        <v>1</v>
      </c>
      <c r="B66" s="42" t="s">
        <v>158</v>
      </c>
      <c r="C66" s="43" t="s">
        <v>80</v>
      </c>
      <c r="D66" s="44">
        <v>35.65</v>
      </c>
      <c r="E66" s="44">
        <v>0</v>
      </c>
      <c r="F66" s="44">
        <v>0</v>
      </c>
      <c r="G66" s="44">
        <v>0</v>
      </c>
      <c r="H66" s="44">
        <f>E66+F66+G66</f>
        <v>0</v>
      </c>
      <c r="I66" s="44">
        <f>H66*D66</f>
        <v>0</v>
      </c>
      <c r="J66" s="42" t="s">
        <v>159</v>
      </c>
    </row>
    <row r="67" spans="1:10" s="33" customFormat="1" ht="19.899999999999999" customHeight="1" outlineLevel="2">
      <c r="A67" s="47"/>
      <c r="B67" s="42" t="s">
        <v>115</v>
      </c>
      <c r="C67" s="47"/>
      <c r="D67" s="48"/>
      <c r="E67" s="44"/>
      <c r="F67" s="44"/>
      <c r="G67" s="44"/>
      <c r="H67" s="44"/>
      <c r="I67" s="44">
        <f>SUM(I57:I66)</f>
        <v>0</v>
      </c>
      <c r="J67" s="42"/>
    </row>
    <row r="68" spans="1:10" s="30" customFormat="1">
      <c r="A68" s="38" t="s">
        <v>40</v>
      </c>
      <c r="B68" s="39" t="s">
        <v>194</v>
      </c>
      <c r="C68" s="38"/>
      <c r="D68" s="40"/>
      <c r="E68" s="40"/>
      <c r="F68" s="40"/>
      <c r="G68" s="40"/>
      <c r="H68" s="40"/>
      <c r="I68" s="40"/>
      <c r="J68" s="39"/>
    </row>
    <row r="69" spans="1:10" s="31" customFormat="1" outlineLevel="1" collapsed="1">
      <c r="A69" s="43"/>
      <c r="B69" s="42" t="s">
        <v>78</v>
      </c>
      <c r="C69" s="43"/>
      <c r="D69" s="44"/>
      <c r="E69" s="44"/>
      <c r="F69" s="44"/>
      <c r="G69" s="44"/>
      <c r="H69" s="44"/>
      <c r="I69" s="44"/>
      <c r="J69" s="42"/>
    </row>
    <row r="70" spans="1:10" s="31" customFormat="1" ht="67.5" hidden="1" outlineLevel="2">
      <c r="A70" s="43">
        <v>1</v>
      </c>
      <c r="B70" s="42" t="s">
        <v>79</v>
      </c>
      <c r="C70" s="43" t="s">
        <v>80</v>
      </c>
      <c r="D70" s="44">
        <v>27.91</v>
      </c>
      <c r="E70" s="44">
        <v>0</v>
      </c>
      <c r="F70" s="44">
        <v>0</v>
      </c>
      <c r="G70" s="44">
        <v>0</v>
      </c>
      <c r="H70" s="44">
        <f t="shared" ref="H70:H73" si="9">E70+F70+G70</f>
        <v>0</v>
      </c>
      <c r="I70" s="44">
        <f t="shared" ref="I70:I73" si="10">H70*D70</f>
        <v>0</v>
      </c>
      <c r="J70" s="42" t="s">
        <v>81</v>
      </c>
    </row>
    <row r="71" spans="1:10" s="31" customFormat="1" ht="67.5" hidden="1" outlineLevel="2">
      <c r="A71" s="43">
        <v>2</v>
      </c>
      <c r="B71" s="42" t="s">
        <v>152</v>
      </c>
      <c r="C71" s="43" t="s">
        <v>80</v>
      </c>
      <c r="D71" s="44">
        <v>27.91</v>
      </c>
      <c r="E71" s="44">
        <v>0</v>
      </c>
      <c r="F71" s="44">
        <v>0</v>
      </c>
      <c r="G71" s="44">
        <v>0</v>
      </c>
      <c r="H71" s="44">
        <f t="shared" si="9"/>
        <v>0</v>
      </c>
      <c r="I71" s="44">
        <f t="shared" si="10"/>
        <v>0</v>
      </c>
      <c r="J71" s="42" t="s">
        <v>153</v>
      </c>
    </row>
    <row r="72" spans="1:10" s="31" customFormat="1" ht="56.25" hidden="1" outlineLevel="2">
      <c r="A72" s="43">
        <v>3</v>
      </c>
      <c r="B72" s="42" t="s">
        <v>84</v>
      </c>
      <c r="C72" s="43" t="s">
        <v>85</v>
      </c>
      <c r="D72" s="44">
        <v>25.04</v>
      </c>
      <c r="E72" s="44">
        <v>0</v>
      </c>
      <c r="F72" s="44">
        <v>0</v>
      </c>
      <c r="G72" s="44">
        <v>0</v>
      </c>
      <c r="H72" s="44">
        <f t="shared" si="9"/>
        <v>0</v>
      </c>
      <c r="I72" s="44">
        <f t="shared" si="10"/>
        <v>0</v>
      </c>
      <c r="J72" s="42" t="s">
        <v>129</v>
      </c>
    </row>
    <row r="73" spans="1:10" s="32" customFormat="1" ht="56.25" hidden="1" outlineLevel="2">
      <c r="A73" s="43">
        <v>4</v>
      </c>
      <c r="B73" s="42" t="s">
        <v>120</v>
      </c>
      <c r="C73" s="43" t="s">
        <v>121</v>
      </c>
      <c r="D73" s="44">
        <v>1</v>
      </c>
      <c r="E73" s="44">
        <v>0</v>
      </c>
      <c r="F73" s="44">
        <v>0</v>
      </c>
      <c r="G73" s="44">
        <v>0</v>
      </c>
      <c r="H73" s="44">
        <f t="shared" si="9"/>
        <v>0</v>
      </c>
      <c r="I73" s="44">
        <f t="shared" si="10"/>
        <v>0</v>
      </c>
      <c r="J73" s="42" t="s">
        <v>88</v>
      </c>
    </row>
    <row r="74" spans="1:10" s="31" customFormat="1" outlineLevel="1">
      <c r="A74" s="43"/>
      <c r="B74" s="42" t="s">
        <v>89</v>
      </c>
      <c r="C74" s="43"/>
      <c r="D74" s="44"/>
      <c r="E74" s="44"/>
      <c r="F74" s="44"/>
      <c r="G74" s="44"/>
      <c r="H74" s="44"/>
      <c r="I74" s="44"/>
      <c r="J74" s="42"/>
    </row>
    <row r="75" spans="1:10" s="33" customFormat="1" ht="67.5" outlineLevel="2">
      <c r="A75" s="47">
        <v>1</v>
      </c>
      <c r="B75" s="42" t="s">
        <v>90</v>
      </c>
      <c r="C75" s="47" t="s">
        <v>91</v>
      </c>
      <c r="D75" s="48">
        <f>(25.04-1.4-0.8-1.6)*2.4</f>
        <v>50.98</v>
      </c>
      <c r="E75" s="44">
        <v>0</v>
      </c>
      <c r="F75" s="44">
        <v>0</v>
      </c>
      <c r="G75" s="44">
        <v>0</v>
      </c>
      <c r="H75" s="44">
        <f>E75+F75+G75</f>
        <v>0</v>
      </c>
      <c r="I75" s="44">
        <f>H75*D75</f>
        <v>0</v>
      </c>
      <c r="J75" s="42" t="s">
        <v>92</v>
      </c>
    </row>
    <row r="76" spans="1:10" s="31" customFormat="1" ht="146.25" outlineLevel="2">
      <c r="A76" s="47">
        <v>2</v>
      </c>
      <c r="B76" s="42" t="s">
        <v>154</v>
      </c>
      <c r="C76" s="47" t="s">
        <v>91</v>
      </c>
      <c r="D76" s="48">
        <f>(25.04-1.4-0.8-1.6)*2.4</f>
        <v>50.98</v>
      </c>
      <c r="E76" s="44">
        <v>0</v>
      </c>
      <c r="F76" s="44">
        <v>0</v>
      </c>
      <c r="G76" s="44">
        <v>0</v>
      </c>
      <c r="H76" s="44">
        <f>E76+F76+G76</f>
        <v>0</v>
      </c>
      <c r="I76" s="44">
        <f>H76*D76</f>
        <v>0</v>
      </c>
      <c r="J76" s="42" t="s">
        <v>155</v>
      </c>
    </row>
    <row r="77" spans="1:10" s="31" customFormat="1" ht="56.25" outlineLevel="2">
      <c r="A77" s="43">
        <v>3</v>
      </c>
      <c r="B77" s="42" t="s">
        <v>156</v>
      </c>
      <c r="C77" s="43" t="s">
        <v>105</v>
      </c>
      <c r="D77" s="44">
        <v>4</v>
      </c>
      <c r="E77" s="44">
        <v>0</v>
      </c>
      <c r="F77" s="44">
        <v>0</v>
      </c>
      <c r="G77" s="44">
        <v>0</v>
      </c>
      <c r="H77" s="44">
        <f>E77+F77+G77</f>
        <v>0</v>
      </c>
      <c r="I77" s="44">
        <f>H77*D77</f>
        <v>0</v>
      </c>
      <c r="J77" s="42" t="s">
        <v>157</v>
      </c>
    </row>
    <row r="78" spans="1:10" s="31" customFormat="1" outlineLevel="1">
      <c r="A78" s="43"/>
      <c r="B78" s="42" t="s">
        <v>109</v>
      </c>
      <c r="C78" s="43"/>
      <c r="D78" s="44"/>
      <c r="E78" s="44"/>
      <c r="F78" s="44"/>
      <c r="G78" s="44"/>
      <c r="H78" s="44"/>
      <c r="I78" s="44"/>
      <c r="J78" s="42"/>
    </row>
    <row r="79" spans="1:10" s="31" customFormat="1" ht="56.25" outlineLevel="2">
      <c r="A79" s="43">
        <v>1</v>
      </c>
      <c r="B79" s="42" t="s">
        <v>158</v>
      </c>
      <c r="C79" s="43" t="s">
        <v>80</v>
      </c>
      <c r="D79" s="44">
        <v>27.91</v>
      </c>
      <c r="E79" s="44">
        <v>0</v>
      </c>
      <c r="F79" s="44">
        <v>0</v>
      </c>
      <c r="G79" s="44">
        <v>0</v>
      </c>
      <c r="H79" s="44">
        <f>E79+F79+G79</f>
        <v>0</v>
      </c>
      <c r="I79" s="44">
        <f>H79*D79</f>
        <v>0</v>
      </c>
      <c r="J79" s="42" t="s">
        <v>159</v>
      </c>
    </row>
    <row r="80" spans="1:10" s="33" customFormat="1" ht="19.899999999999999" customHeight="1" outlineLevel="2">
      <c r="A80" s="47"/>
      <c r="B80" s="42" t="s">
        <v>115</v>
      </c>
      <c r="C80" s="47"/>
      <c r="D80" s="48"/>
      <c r="E80" s="44"/>
      <c r="F80" s="44"/>
      <c r="G80" s="44"/>
      <c r="H80" s="44"/>
      <c r="I80" s="44">
        <f>SUM(I70:I79)</f>
        <v>0</v>
      </c>
      <c r="J80" s="42"/>
    </row>
    <row r="81" spans="1:10" s="30" customFormat="1">
      <c r="A81" s="38" t="s">
        <v>160</v>
      </c>
      <c r="B81" s="39" t="s">
        <v>195</v>
      </c>
      <c r="C81" s="38"/>
      <c r="D81" s="40"/>
      <c r="E81" s="40"/>
      <c r="F81" s="40"/>
      <c r="G81" s="40"/>
      <c r="H81" s="40"/>
      <c r="I81" s="40"/>
      <c r="J81" s="39"/>
    </row>
    <row r="82" spans="1:10" s="31" customFormat="1" outlineLevel="1">
      <c r="A82" s="37"/>
      <c r="B82" s="42" t="s">
        <v>78</v>
      </c>
      <c r="C82" s="43"/>
      <c r="D82" s="44"/>
      <c r="E82" s="44"/>
      <c r="F82" s="44"/>
      <c r="G82" s="44"/>
      <c r="H82" s="44"/>
      <c r="I82" s="44"/>
      <c r="J82" s="42"/>
    </row>
    <row r="83" spans="1:10" s="31" customFormat="1" ht="63" customHeight="1" outlineLevel="2">
      <c r="A83" s="47">
        <v>1</v>
      </c>
      <c r="B83" s="42" t="s">
        <v>79</v>
      </c>
      <c r="C83" s="43" t="s">
        <v>80</v>
      </c>
      <c r="D83" s="44">
        <v>457.91</v>
      </c>
      <c r="E83" s="44">
        <v>0</v>
      </c>
      <c r="F83" s="44">
        <v>0</v>
      </c>
      <c r="G83" s="44">
        <v>0</v>
      </c>
      <c r="H83" s="44">
        <f t="shared" ref="H83:H88" si="11">E83+F83+G83</f>
        <v>0</v>
      </c>
      <c r="I83" s="44">
        <f t="shared" ref="I83:I88" si="12">H83*D83</f>
        <v>0</v>
      </c>
      <c r="J83" s="42" t="s">
        <v>81</v>
      </c>
    </row>
    <row r="84" spans="1:10" s="31" customFormat="1" ht="67.5" outlineLevel="2">
      <c r="A84" s="43">
        <v>2</v>
      </c>
      <c r="B84" s="42" t="s">
        <v>196</v>
      </c>
      <c r="C84" s="43" t="s">
        <v>80</v>
      </c>
      <c r="D84" s="44">
        <v>75.55</v>
      </c>
      <c r="E84" s="44">
        <v>0</v>
      </c>
      <c r="F84" s="44">
        <v>0</v>
      </c>
      <c r="G84" s="44">
        <v>0</v>
      </c>
      <c r="H84" s="44">
        <f t="shared" si="11"/>
        <v>0</v>
      </c>
      <c r="I84" s="44">
        <f t="shared" si="12"/>
        <v>0</v>
      </c>
      <c r="J84" s="42" t="s">
        <v>175</v>
      </c>
    </row>
    <row r="85" spans="1:10" s="31" customFormat="1" ht="67.5" outlineLevel="2">
      <c r="A85" s="43">
        <v>3</v>
      </c>
      <c r="B85" s="42" t="s">
        <v>82</v>
      </c>
      <c r="C85" s="43" t="s">
        <v>80</v>
      </c>
      <c r="D85" s="44">
        <v>457.91</v>
      </c>
      <c r="E85" s="44">
        <v>0</v>
      </c>
      <c r="F85" s="44">
        <v>0</v>
      </c>
      <c r="G85" s="44">
        <v>0</v>
      </c>
      <c r="H85" s="44">
        <f t="shared" si="11"/>
        <v>0</v>
      </c>
      <c r="I85" s="44">
        <f t="shared" si="12"/>
        <v>0</v>
      </c>
      <c r="J85" s="42" t="s">
        <v>83</v>
      </c>
    </row>
    <row r="86" spans="1:10" s="31" customFormat="1" ht="56.25" outlineLevel="2">
      <c r="A86" s="47">
        <v>3</v>
      </c>
      <c r="B86" s="42" t="s">
        <v>84</v>
      </c>
      <c r="C86" s="43" t="s">
        <v>85</v>
      </c>
      <c r="D86" s="44">
        <v>117</v>
      </c>
      <c r="E86" s="44">
        <v>0</v>
      </c>
      <c r="F86" s="44">
        <v>0</v>
      </c>
      <c r="G86" s="44">
        <v>0</v>
      </c>
      <c r="H86" s="44">
        <f t="shared" si="11"/>
        <v>0</v>
      </c>
      <c r="I86" s="44">
        <f t="shared" si="12"/>
        <v>0</v>
      </c>
      <c r="J86" s="42" t="s">
        <v>86</v>
      </c>
    </row>
    <row r="87" spans="1:10" s="31" customFormat="1" ht="56.25" outlineLevel="2">
      <c r="A87" s="37">
        <v>4</v>
      </c>
      <c r="B87" s="42" t="s">
        <v>163</v>
      </c>
      <c r="C87" s="43" t="s">
        <v>85</v>
      </c>
      <c r="D87" s="44">
        <f>12*2.85</f>
        <v>34.200000000000003</v>
      </c>
      <c r="E87" s="44">
        <v>0</v>
      </c>
      <c r="F87" s="44">
        <v>0</v>
      </c>
      <c r="G87" s="44">
        <v>0</v>
      </c>
      <c r="H87" s="44">
        <f t="shared" si="11"/>
        <v>0</v>
      </c>
      <c r="I87" s="44">
        <f t="shared" si="12"/>
        <v>0</v>
      </c>
      <c r="J87" s="42" t="s">
        <v>164</v>
      </c>
    </row>
    <row r="88" spans="1:10" s="32" customFormat="1" ht="56.25" outlineLevel="2">
      <c r="A88" s="37">
        <v>5</v>
      </c>
      <c r="B88" s="42" t="s">
        <v>87</v>
      </c>
      <c r="C88" s="43" t="s">
        <v>85</v>
      </c>
      <c r="D88" s="44">
        <v>24.6</v>
      </c>
      <c r="E88" s="44">
        <v>0</v>
      </c>
      <c r="F88" s="44">
        <v>0</v>
      </c>
      <c r="G88" s="44">
        <v>0</v>
      </c>
      <c r="H88" s="44">
        <f t="shared" si="11"/>
        <v>0</v>
      </c>
      <c r="I88" s="44">
        <f t="shared" si="12"/>
        <v>0</v>
      </c>
      <c r="J88" s="42" t="s">
        <v>88</v>
      </c>
    </row>
    <row r="89" spans="1:10" s="31" customFormat="1" outlineLevel="1">
      <c r="A89" s="47"/>
      <c r="B89" s="42" t="s">
        <v>89</v>
      </c>
      <c r="C89" s="43"/>
      <c r="D89" s="44"/>
      <c r="E89" s="44"/>
      <c r="F89" s="44"/>
      <c r="G89" s="44"/>
      <c r="H89" s="44"/>
      <c r="I89" s="44"/>
      <c r="J89" s="42"/>
    </row>
    <row r="90" spans="1:10" s="33" customFormat="1" ht="67.5" outlineLevel="2">
      <c r="A90" s="47">
        <v>1</v>
      </c>
      <c r="B90" s="42" t="s">
        <v>90</v>
      </c>
      <c r="C90" s="47" t="s">
        <v>91</v>
      </c>
      <c r="D90" s="48">
        <f>131.4*2.15-12*2.7*2</f>
        <v>217.71</v>
      </c>
      <c r="E90" s="44">
        <v>0</v>
      </c>
      <c r="F90" s="44">
        <v>0</v>
      </c>
      <c r="G90" s="44">
        <v>0</v>
      </c>
      <c r="H90" s="44">
        <f t="shared" ref="H90:H97" si="13">E90+F90+G90</f>
        <v>0</v>
      </c>
      <c r="I90" s="44">
        <f t="shared" ref="I90:I97" si="14">H90*D90</f>
        <v>0</v>
      </c>
      <c r="J90" s="42" t="s">
        <v>92</v>
      </c>
    </row>
    <row r="91" spans="1:10" s="31" customFormat="1" ht="67.5" outlineLevel="2">
      <c r="A91" s="37">
        <v>2</v>
      </c>
      <c r="B91" s="42" t="s">
        <v>93</v>
      </c>
      <c r="C91" s="47" t="s">
        <v>91</v>
      </c>
      <c r="D91" s="48">
        <f>131.4*2.15-12*2.7*2</f>
        <v>217.71</v>
      </c>
      <c r="E91" s="44">
        <v>0</v>
      </c>
      <c r="F91" s="44">
        <v>0</v>
      </c>
      <c r="G91" s="44">
        <v>0</v>
      </c>
      <c r="H91" s="44">
        <f t="shared" si="13"/>
        <v>0</v>
      </c>
      <c r="I91" s="44">
        <f t="shared" si="14"/>
        <v>0</v>
      </c>
      <c r="J91" s="42" t="s">
        <v>197</v>
      </c>
    </row>
    <row r="92" spans="1:10" s="31" customFormat="1" ht="67.5" outlineLevel="2">
      <c r="A92" s="47">
        <v>3</v>
      </c>
      <c r="B92" s="42" t="s">
        <v>95</v>
      </c>
      <c r="C92" s="47" t="s">
        <v>96</v>
      </c>
      <c r="D92" s="48">
        <v>4</v>
      </c>
      <c r="E92" s="44">
        <v>0</v>
      </c>
      <c r="F92" s="44">
        <v>0</v>
      </c>
      <c r="G92" s="44">
        <v>0</v>
      </c>
      <c r="H92" s="44">
        <f t="shared" si="13"/>
        <v>0</v>
      </c>
      <c r="I92" s="44">
        <f t="shared" si="14"/>
        <v>0</v>
      </c>
      <c r="J92" s="42" t="s">
        <v>198</v>
      </c>
    </row>
    <row r="93" spans="1:10" s="31" customFormat="1" ht="45" outlineLevel="2">
      <c r="A93" s="47">
        <v>4</v>
      </c>
      <c r="B93" s="42" t="s">
        <v>199</v>
      </c>
      <c r="C93" s="43" t="s">
        <v>85</v>
      </c>
      <c r="D93" s="44">
        <v>25</v>
      </c>
      <c r="E93" s="44">
        <v>0</v>
      </c>
      <c r="F93" s="44">
        <v>0</v>
      </c>
      <c r="G93" s="44">
        <v>0</v>
      </c>
      <c r="H93" s="44">
        <f t="shared" si="13"/>
        <v>0</v>
      </c>
      <c r="I93" s="44">
        <f t="shared" si="14"/>
        <v>0</v>
      </c>
      <c r="J93" s="42" t="s">
        <v>200</v>
      </c>
    </row>
    <row r="94" spans="1:10" s="31" customFormat="1" ht="56.25" outlineLevel="2">
      <c r="A94" s="37">
        <v>5</v>
      </c>
      <c r="B94" s="42" t="s">
        <v>167</v>
      </c>
      <c r="C94" s="47" t="s">
        <v>91</v>
      </c>
      <c r="D94" s="44">
        <f>3.46*2.15</f>
        <v>7.44</v>
      </c>
      <c r="E94" s="44">
        <v>0</v>
      </c>
      <c r="F94" s="44">
        <v>0</v>
      </c>
      <c r="G94" s="44">
        <v>0</v>
      </c>
      <c r="H94" s="44">
        <f t="shared" si="13"/>
        <v>0</v>
      </c>
      <c r="I94" s="44">
        <f t="shared" si="14"/>
        <v>0</v>
      </c>
      <c r="J94" s="42" t="s">
        <v>99</v>
      </c>
    </row>
    <row r="95" spans="1:10" s="31" customFormat="1" ht="78.75" outlineLevel="2">
      <c r="A95" s="47">
        <v>6</v>
      </c>
      <c r="B95" s="42" t="s">
        <v>184</v>
      </c>
      <c r="C95" s="43" t="s">
        <v>85</v>
      </c>
      <c r="D95" s="44">
        <f>19.9-5.3</f>
        <v>14.6</v>
      </c>
      <c r="E95" s="44">
        <v>0</v>
      </c>
      <c r="F95" s="44">
        <v>0</v>
      </c>
      <c r="G95" s="44">
        <v>0</v>
      </c>
      <c r="H95" s="44">
        <f t="shared" si="13"/>
        <v>0</v>
      </c>
      <c r="I95" s="44">
        <f t="shared" si="14"/>
        <v>0</v>
      </c>
      <c r="J95" s="42" t="s">
        <v>169</v>
      </c>
    </row>
    <row r="96" spans="1:10" s="31" customFormat="1" ht="56.25" outlineLevel="2">
      <c r="A96" s="47">
        <v>7</v>
      </c>
      <c r="B96" s="42" t="s">
        <v>104</v>
      </c>
      <c r="C96" s="43" t="s">
        <v>105</v>
      </c>
      <c r="D96" s="44">
        <v>4</v>
      </c>
      <c r="E96" s="44">
        <v>0</v>
      </c>
      <c r="F96" s="44">
        <v>0</v>
      </c>
      <c r="G96" s="44">
        <v>0</v>
      </c>
      <c r="H96" s="44">
        <f t="shared" si="13"/>
        <v>0</v>
      </c>
      <c r="I96" s="44">
        <f t="shared" si="14"/>
        <v>0</v>
      </c>
      <c r="J96" s="42" t="s">
        <v>106</v>
      </c>
    </row>
    <row r="97" spans="1:10" s="31" customFormat="1" ht="56.25" outlineLevel="2">
      <c r="A97" s="37">
        <v>8</v>
      </c>
      <c r="B97" s="42" t="s">
        <v>107</v>
      </c>
      <c r="C97" s="47" t="s">
        <v>91</v>
      </c>
      <c r="D97" s="44">
        <f>3.45*2.15*2</f>
        <v>14.84</v>
      </c>
      <c r="E97" s="44">
        <v>0</v>
      </c>
      <c r="F97" s="44">
        <v>0</v>
      </c>
      <c r="G97" s="44">
        <v>0</v>
      </c>
      <c r="H97" s="44">
        <f t="shared" si="13"/>
        <v>0</v>
      </c>
      <c r="I97" s="44">
        <f t="shared" si="14"/>
        <v>0</v>
      </c>
      <c r="J97" s="42" t="s">
        <v>190</v>
      </c>
    </row>
    <row r="98" spans="1:10" s="33" customFormat="1" ht="19.899999999999999" customHeight="1" outlineLevel="2">
      <c r="A98" s="49"/>
      <c r="B98" s="42" t="s">
        <v>115</v>
      </c>
      <c r="C98" s="47"/>
      <c r="D98" s="48"/>
      <c r="E98" s="44"/>
      <c r="F98" s="44"/>
      <c r="G98" s="44"/>
      <c r="H98" s="44"/>
      <c r="I98" s="44">
        <f>SUM(I83:I97)</f>
        <v>0</v>
      </c>
      <c r="J98" s="42"/>
    </row>
    <row r="99" spans="1:10" s="30" customFormat="1">
      <c r="A99" s="38" t="s">
        <v>161</v>
      </c>
      <c r="B99" s="39" t="s">
        <v>201</v>
      </c>
      <c r="C99" s="38"/>
      <c r="D99" s="40"/>
      <c r="E99" s="40"/>
      <c r="F99" s="40"/>
      <c r="G99" s="40"/>
      <c r="H99" s="40"/>
      <c r="I99" s="40"/>
      <c r="J99" s="39"/>
    </row>
    <row r="100" spans="1:10" s="31" customFormat="1" outlineLevel="1">
      <c r="A100" s="43"/>
      <c r="B100" s="42" t="s">
        <v>78</v>
      </c>
      <c r="C100" s="43"/>
      <c r="D100" s="44"/>
      <c r="E100" s="44"/>
      <c r="F100" s="44"/>
      <c r="G100" s="44"/>
      <c r="H100" s="44"/>
      <c r="I100" s="44"/>
      <c r="J100" s="42"/>
    </row>
    <row r="101" spans="1:10" s="31" customFormat="1" ht="67.5" outlineLevel="2">
      <c r="A101" s="43">
        <v>1</v>
      </c>
      <c r="B101" s="42" t="s">
        <v>79</v>
      </c>
      <c r="C101" s="43" t="s">
        <v>80</v>
      </c>
      <c r="D101" s="44">
        <f>28.09*4</f>
        <v>112.36</v>
      </c>
      <c r="E101" s="44">
        <v>0</v>
      </c>
      <c r="F101" s="44">
        <v>0</v>
      </c>
      <c r="G101" s="44">
        <v>0</v>
      </c>
      <c r="H101" s="44">
        <f t="shared" ref="H101:H105" si="15">E101+F101+G101</f>
        <v>0</v>
      </c>
      <c r="I101" s="44">
        <f t="shared" ref="I101:I105" si="16">H101*D101</f>
        <v>0</v>
      </c>
      <c r="J101" s="42" t="s">
        <v>81</v>
      </c>
    </row>
    <row r="102" spans="1:10" s="31" customFormat="1" ht="67.5" outlineLevel="2">
      <c r="A102" s="43">
        <v>2</v>
      </c>
      <c r="B102" s="42" t="s">
        <v>174</v>
      </c>
      <c r="C102" s="43" t="s">
        <v>80</v>
      </c>
      <c r="D102" s="44">
        <f>(28.09-11.98+2.04)*4</f>
        <v>72.599999999999994</v>
      </c>
      <c r="E102" s="44">
        <v>0</v>
      </c>
      <c r="F102" s="44">
        <v>0</v>
      </c>
      <c r="G102" s="44">
        <v>0</v>
      </c>
      <c r="H102" s="44">
        <f t="shared" si="15"/>
        <v>0</v>
      </c>
      <c r="I102" s="44">
        <f t="shared" si="16"/>
        <v>0</v>
      </c>
      <c r="J102" s="42" t="s">
        <v>175</v>
      </c>
    </row>
    <row r="103" spans="1:10" s="31" customFormat="1" ht="67.5" outlineLevel="2">
      <c r="A103" s="43">
        <v>3</v>
      </c>
      <c r="B103" s="42" t="s">
        <v>82</v>
      </c>
      <c r="C103" s="43" t="s">
        <v>80</v>
      </c>
      <c r="D103" s="44">
        <f>11.98*4</f>
        <v>47.92</v>
      </c>
      <c r="E103" s="44">
        <v>0</v>
      </c>
      <c r="F103" s="44">
        <v>0</v>
      </c>
      <c r="G103" s="44">
        <v>0</v>
      </c>
      <c r="H103" s="44">
        <f t="shared" si="15"/>
        <v>0</v>
      </c>
      <c r="I103" s="44">
        <f t="shared" si="16"/>
        <v>0</v>
      </c>
      <c r="J103" s="42" t="s">
        <v>83</v>
      </c>
    </row>
    <row r="104" spans="1:10" s="31" customFormat="1" ht="56.25" outlineLevel="2">
      <c r="A104" s="43">
        <v>4</v>
      </c>
      <c r="B104" s="42" t="s">
        <v>84</v>
      </c>
      <c r="C104" s="43" t="s">
        <v>85</v>
      </c>
      <c r="D104" s="44">
        <f>21.3*4</f>
        <v>85.2</v>
      </c>
      <c r="E104" s="44">
        <v>0</v>
      </c>
      <c r="F104" s="44">
        <v>0</v>
      </c>
      <c r="G104" s="44">
        <v>0</v>
      </c>
      <c r="H104" s="44">
        <f t="shared" si="15"/>
        <v>0</v>
      </c>
      <c r="I104" s="44">
        <f t="shared" si="16"/>
        <v>0</v>
      </c>
      <c r="J104" s="42" t="s">
        <v>129</v>
      </c>
    </row>
    <row r="105" spans="1:10" s="31" customFormat="1" ht="56.25" outlineLevel="2">
      <c r="A105" s="37">
        <v>5</v>
      </c>
      <c r="B105" s="42" t="s">
        <v>163</v>
      </c>
      <c r="C105" s="43" t="s">
        <v>85</v>
      </c>
      <c r="D105" s="44">
        <v>11.4</v>
      </c>
      <c r="E105" s="44">
        <v>0</v>
      </c>
      <c r="F105" s="44">
        <v>0</v>
      </c>
      <c r="G105" s="44">
        <v>0</v>
      </c>
      <c r="H105" s="44">
        <f t="shared" si="15"/>
        <v>0</v>
      </c>
      <c r="I105" s="44">
        <f t="shared" si="16"/>
        <v>0</v>
      </c>
      <c r="J105" s="42" t="s">
        <v>164</v>
      </c>
    </row>
    <row r="106" spans="1:10" s="32" customFormat="1" ht="56.25" outlineLevel="2">
      <c r="A106" s="43">
        <v>6</v>
      </c>
      <c r="B106" s="42" t="s">
        <v>120</v>
      </c>
      <c r="C106" s="43" t="s">
        <v>85</v>
      </c>
      <c r="D106" s="44">
        <f>3.5*4</f>
        <v>14</v>
      </c>
      <c r="E106" s="44">
        <v>0</v>
      </c>
      <c r="F106" s="44">
        <v>0</v>
      </c>
      <c r="G106" s="44">
        <v>0</v>
      </c>
      <c r="H106" s="44">
        <f>E106+F106+G106</f>
        <v>0</v>
      </c>
      <c r="I106" s="44">
        <f>H106*D106</f>
        <v>0</v>
      </c>
      <c r="J106" s="42" t="s">
        <v>88</v>
      </c>
    </row>
    <row r="107" spans="1:10" s="31" customFormat="1" outlineLevel="1">
      <c r="A107" s="43"/>
      <c r="B107" s="42" t="s">
        <v>89</v>
      </c>
      <c r="C107" s="43"/>
      <c r="D107" s="44"/>
      <c r="E107" s="44"/>
      <c r="F107" s="44"/>
      <c r="G107" s="44"/>
      <c r="H107" s="44"/>
      <c r="I107" s="44"/>
      <c r="J107" s="42"/>
    </row>
    <row r="108" spans="1:10" s="33" customFormat="1" ht="67.5" outlineLevel="2">
      <c r="A108" s="47">
        <v>1</v>
      </c>
      <c r="B108" s="42" t="s">
        <v>90</v>
      </c>
      <c r="C108" s="47" t="s">
        <v>91</v>
      </c>
      <c r="D108" s="48">
        <f>78.8*2.15</f>
        <v>169.42</v>
      </c>
      <c r="E108" s="44">
        <v>0</v>
      </c>
      <c r="F108" s="44">
        <v>0</v>
      </c>
      <c r="G108" s="44">
        <v>0</v>
      </c>
      <c r="H108" s="44">
        <f>E108+F108+G108</f>
        <v>0</v>
      </c>
      <c r="I108" s="44">
        <f>H108*D108</f>
        <v>0</v>
      </c>
      <c r="J108" s="42" t="s">
        <v>92</v>
      </c>
    </row>
    <row r="109" spans="1:10" s="31" customFormat="1" ht="67.5" outlineLevel="2">
      <c r="A109" s="37">
        <v>2</v>
      </c>
      <c r="B109" s="42" t="s">
        <v>93</v>
      </c>
      <c r="C109" s="47" t="s">
        <v>91</v>
      </c>
      <c r="D109" s="48">
        <f>78.8*2.15</f>
        <v>169.42</v>
      </c>
      <c r="E109" s="44">
        <v>0</v>
      </c>
      <c r="F109" s="44">
        <v>0</v>
      </c>
      <c r="G109" s="44">
        <v>0</v>
      </c>
      <c r="H109" s="44">
        <f>E109+F109+G109</f>
        <v>0</v>
      </c>
      <c r="I109" s="44">
        <f>H109*D109</f>
        <v>0</v>
      </c>
      <c r="J109" s="42" t="s">
        <v>165</v>
      </c>
    </row>
    <row r="110" spans="1:10" s="31" customFormat="1" ht="56.25" outlineLevel="2">
      <c r="A110" s="43">
        <v>3</v>
      </c>
      <c r="B110" s="42" t="s">
        <v>180</v>
      </c>
      <c r="C110" s="43" t="s">
        <v>105</v>
      </c>
      <c r="D110" s="44">
        <v>8</v>
      </c>
      <c r="E110" s="44">
        <v>0</v>
      </c>
      <c r="F110" s="44">
        <v>0</v>
      </c>
      <c r="G110" s="44">
        <v>0</v>
      </c>
      <c r="H110" s="44">
        <f>E110+F110+G110</f>
        <v>0</v>
      </c>
      <c r="I110" s="44">
        <f>H110*D110</f>
        <v>0</v>
      </c>
      <c r="J110" s="42" t="s">
        <v>187</v>
      </c>
    </row>
    <row r="111" spans="1:10" s="33" customFormat="1" ht="19.899999999999999" customHeight="1" outlineLevel="2">
      <c r="A111" s="47"/>
      <c r="B111" s="42" t="s">
        <v>115</v>
      </c>
      <c r="C111" s="47"/>
      <c r="D111" s="48"/>
      <c r="E111" s="44"/>
      <c r="F111" s="44"/>
      <c r="G111" s="44"/>
      <c r="H111" s="44"/>
      <c r="I111" s="44">
        <f>SUM(I101:I110)</f>
        <v>0</v>
      </c>
      <c r="J111" s="42"/>
    </row>
  </sheetData>
  <sheetProtection formatCells="0" formatColumns="0" formatRows="0" insertColumns="0" insertRows="0" insertHyperlinks="0" deleteColumns="0" deleteRows="0" sort="0" autoFilter="0" pivotTables="0"/>
  <autoFilter ref="A4:J111" xr:uid="{00000000-0009-0000-0000-000005000000}"/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3" type="noConversion"/>
  <printOptions horizontalCentered="1"/>
  <pageMargins left="0.39305555555555599" right="0.39305555555555599" top="0.39305555555555599" bottom="0.59027777777777801" header="0.39305555555555599" footer="0.39305555555555599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J41"/>
  <sheetViews>
    <sheetView view="pageBreakPreview" zoomScale="130" zoomScaleNormal="100" workbookViewId="0">
      <pane ySplit="4" topLeftCell="A20" activePane="bottomLeft" state="frozen"/>
      <selection pane="bottomLeft" activeCell="B34" sqref="B34"/>
    </sheetView>
  </sheetViews>
  <sheetFormatPr defaultColWidth="8.875" defaultRowHeight="12.75" outlineLevelRow="2"/>
  <cols>
    <col min="1" max="1" width="5.75" style="34" customWidth="1"/>
    <col min="2" max="2" width="19.625" style="35" customWidth="1"/>
    <col min="3" max="3" width="5" style="36" customWidth="1"/>
    <col min="4" max="8" width="8.875" style="36"/>
    <col min="9" max="9" width="9.5" style="36"/>
    <col min="10" max="10" width="27.375" style="36" customWidth="1"/>
    <col min="11" max="16384" width="8.875" style="36"/>
  </cols>
  <sheetData>
    <row r="1" spans="1:10" s="28" customFormat="1" ht="20.100000000000001" customHeight="1">
      <c r="A1" s="99" t="s">
        <v>66</v>
      </c>
      <c r="B1" s="100"/>
      <c r="C1" s="99"/>
      <c r="D1" s="101"/>
      <c r="E1" s="101"/>
      <c r="F1" s="101"/>
      <c r="G1" s="101"/>
      <c r="H1" s="101"/>
      <c r="I1" s="101"/>
      <c r="J1" s="99"/>
    </row>
    <row r="2" spans="1:10" s="29" customFormat="1" ht="15" customHeight="1">
      <c r="A2" s="102" t="s">
        <v>172</v>
      </c>
      <c r="B2" s="102"/>
      <c r="C2" s="102"/>
      <c r="D2" s="103"/>
      <c r="E2" s="104"/>
      <c r="F2" s="104"/>
      <c r="G2" s="104"/>
      <c r="H2" s="103"/>
      <c r="I2" s="103"/>
      <c r="J2" s="102"/>
    </row>
    <row r="3" spans="1:10" s="28" customFormat="1">
      <c r="A3" s="105"/>
      <c r="B3" s="107" t="s">
        <v>68</v>
      </c>
      <c r="C3" s="107" t="s">
        <v>69</v>
      </c>
      <c r="D3" s="104" t="s">
        <v>70</v>
      </c>
      <c r="E3" s="104" t="s">
        <v>71</v>
      </c>
      <c r="F3" s="110" t="s">
        <v>72</v>
      </c>
      <c r="G3" s="104" t="s">
        <v>73</v>
      </c>
      <c r="H3" s="112" t="s">
        <v>74</v>
      </c>
      <c r="I3" s="104" t="s">
        <v>75</v>
      </c>
      <c r="J3" s="113" t="s">
        <v>76</v>
      </c>
    </row>
    <row r="4" spans="1:10" s="28" customFormat="1">
      <c r="A4" s="106"/>
      <c r="B4" s="108"/>
      <c r="C4" s="108"/>
      <c r="D4" s="109"/>
      <c r="E4" s="109"/>
      <c r="F4" s="111"/>
      <c r="G4" s="109"/>
      <c r="H4" s="112"/>
      <c r="I4" s="104"/>
      <c r="J4" s="113"/>
    </row>
    <row r="5" spans="1:10" s="30" customFormat="1">
      <c r="A5" s="38" t="s">
        <v>14</v>
      </c>
      <c r="B5" s="39" t="s">
        <v>202</v>
      </c>
      <c r="C5" s="38"/>
      <c r="D5" s="40"/>
      <c r="E5" s="40"/>
      <c r="F5" s="40"/>
      <c r="G5" s="40"/>
      <c r="H5" s="40"/>
      <c r="I5" s="40"/>
      <c r="J5" s="39"/>
    </row>
    <row r="6" spans="1:10" s="31" customFormat="1" outlineLevel="1">
      <c r="A6" s="41"/>
      <c r="B6" s="42" t="s">
        <v>78</v>
      </c>
      <c r="C6" s="43"/>
      <c r="D6" s="44"/>
      <c r="E6" s="44"/>
      <c r="F6" s="44"/>
      <c r="G6" s="44"/>
      <c r="H6" s="44"/>
      <c r="I6" s="44"/>
      <c r="J6" s="42"/>
    </row>
    <row r="7" spans="1:10" s="31" customFormat="1" ht="63" customHeight="1" outlineLevel="2">
      <c r="A7" s="43">
        <v>1</v>
      </c>
      <c r="B7" s="42" t="s">
        <v>79</v>
      </c>
      <c r="C7" s="43" t="s">
        <v>80</v>
      </c>
      <c r="D7" s="44">
        <f>296.5+15.47</f>
        <v>311.97000000000003</v>
      </c>
      <c r="E7" s="44">
        <v>0</v>
      </c>
      <c r="F7" s="44">
        <v>0</v>
      </c>
      <c r="G7" s="44">
        <v>0</v>
      </c>
      <c r="H7" s="44">
        <f t="shared" ref="H7:H11" si="0">E7+F7+G7</f>
        <v>0</v>
      </c>
      <c r="I7" s="44">
        <f t="shared" ref="I7:I11" si="1">H7*D7</f>
        <v>0</v>
      </c>
      <c r="J7" s="42" t="s">
        <v>81</v>
      </c>
    </row>
    <row r="8" spans="1:10" s="31" customFormat="1" ht="56.25" outlineLevel="2">
      <c r="A8" s="43">
        <v>2</v>
      </c>
      <c r="B8" s="42" t="s">
        <v>203</v>
      </c>
      <c r="C8" s="43" t="s">
        <v>121</v>
      </c>
      <c r="D8" s="44">
        <v>16</v>
      </c>
      <c r="E8" s="44">
        <v>0</v>
      </c>
      <c r="F8" s="44">
        <v>0</v>
      </c>
      <c r="G8" s="44">
        <v>0</v>
      </c>
      <c r="H8" s="44">
        <f t="shared" si="0"/>
        <v>0</v>
      </c>
      <c r="I8" s="44">
        <f t="shared" si="1"/>
        <v>0</v>
      </c>
      <c r="J8" s="42" t="s">
        <v>204</v>
      </c>
    </row>
    <row r="9" spans="1:10" s="31" customFormat="1" ht="67.5" outlineLevel="2">
      <c r="A9" s="43">
        <v>3</v>
      </c>
      <c r="B9" s="42" t="s">
        <v>82</v>
      </c>
      <c r="C9" s="43" t="s">
        <v>80</v>
      </c>
      <c r="D9" s="44">
        <f>296.5-38.58+15.47</f>
        <v>273.39</v>
      </c>
      <c r="E9" s="44">
        <v>0</v>
      </c>
      <c r="F9" s="44">
        <v>0</v>
      </c>
      <c r="G9" s="44">
        <v>0</v>
      </c>
      <c r="H9" s="44">
        <f t="shared" si="0"/>
        <v>0</v>
      </c>
      <c r="I9" s="44">
        <f t="shared" si="1"/>
        <v>0</v>
      </c>
      <c r="J9" s="42" t="s">
        <v>83</v>
      </c>
    </row>
    <row r="10" spans="1:10" s="31" customFormat="1" ht="56.25" outlineLevel="2">
      <c r="A10" s="43">
        <v>4</v>
      </c>
      <c r="B10" s="42" t="s">
        <v>84</v>
      </c>
      <c r="C10" s="43" t="s">
        <v>85</v>
      </c>
      <c r="D10" s="44">
        <v>92.62</v>
      </c>
      <c r="E10" s="44">
        <v>0</v>
      </c>
      <c r="F10" s="44">
        <v>0</v>
      </c>
      <c r="G10" s="44">
        <v>0</v>
      </c>
      <c r="H10" s="44">
        <f t="shared" si="0"/>
        <v>0</v>
      </c>
      <c r="I10" s="44">
        <f t="shared" si="1"/>
        <v>0</v>
      </c>
      <c r="J10" s="42" t="s">
        <v>86</v>
      </c>
    </row>
    <row r="11" spans="1:10" s="32" customFormat="1" ht="56.25" outlineLevel="2">
      <c r="A11" s="45">
        <v>5</v>
      </c>
      <c r="B11" s="42" t="s">
        <v>87</v>
      </c>
      <c r="C11" s="43" t="s">
        <v>85</v>
      </c>
      <c r="D11" s="44">
        <v>22</v>
      </c>
      <c r="E11" s="44">
        <v>0</v>
      </c>
      <c r="F11" s="44">
        <v>0</v>
      </c>
      <c r="G11" s="44">
        <v>0</v>
      </c>
      <c r="H11" s="44">
        <f t="shared" si="0"/>
        <v>0</v>
      </c>
      <c r="I11" s="44">
        <f t="shared" si="1"/>
        <v>0</v>
      </c>
      <c r="J11" s="42" t="s">
        <v>88</v>
      </c>
    </row>
    <row r="12" spans="1:10" s="31" customFormat="1" outlineLevel="1">
      <c r="A12" s="46"/>
      <c r="B12" s="42" t="s">
        <v>89</v>
      </c>
      <c r="C12" s="43"/>
      <c r="D12" s="44"/>
      <c r="E12" s="44"/>
      <c r="F12" s="44"/>
      <c r="G12" s="44"/>
      <c r="H12" s="44"/>
      <c r="I12" s="44"/>
      <c r="J12" s="42"/>
    </row>
    <row r="13" spans="1:10" s="33" customFormat="1" ht="67.5" outlineLevel="2">
      <c r="A13" s="47">
        <v>1</v>
      </c>
      <c r="B13" s="42" t="s">
        <v>90</v>
      </c>
      <c r="C13" s="47" t="s">
        <v>91</v>
      </c>
      <c r="D13" s="48">
        <f>(82.62-4.8-3.2-1.6-2.8)*2.15+21.5</f>
        <v>172.47</v>
      </c>
      <c r="E13" s="44">
        <v>0</v>
      </c>
      <c r="F13" s="44">
        <v>0</v>
      </c>
      <c r="G13" s="44">
        <v>0</v>
      </c>
      <c r="H13" s="44">
        <f>E13+F13+G13</f>
        <v>0</v>
      </c>
      <c r="I13" s="44">
        <f>H13*D13</f>
        <v>0</v>
      </c>
      <c r="J13" s="42" t="s">
        <v>92</v>
      </c>
    </row>
    <row r="14" spans="1:10" s="31" customFormat="1" ht="67.5" outlineLevel="2">
      <c r="A14" s="37">
        <v>2</v>
      </c>
      <c r="B14" s="42" t="s">
        <v>93</v>
      </c>
      <c r="C14" s="47" t="s">
        <v>91</v>
      </c>
      <c r="D14" s="48">
        <f>150.97-2.7*2+21.5</f>
        <v>167.07</v>
      </c>
      <c r="E14" s="44">
        <v>0</v>
      </c>
      <c r="F14" s="44">
        <v>0</v>
      </c>
      <c r="G14" s="44">
        <v>0</v>
      </c>
      <c r="H14" s="44">
        <f>E14+F14+G14</f>
        <v>0</v>
      </c>
      <c r="I14" s="44">
        <f>H14*D14</f>
        <v>0</v>
      </c>
      <c r="J14" s="42" t="s">
        <v>165</v>
      </c>
    </row>
    <row r="15" spans="1:10" s="31" customFormat="1" ht="56.25" outlineLevel="2">
      <c r="A15" s="47">
        <v>3</v>
      </c>
      <c r="B15" s="42" t="s">
        <v>95</v>
      </c>
      <c r="C15" s="47" t="s">
        <v>96</v>
      </c>
      <c r="D15" s="48">
        <v>4</v>
      </c>
      <c r="E15" s="44">
        <v>0</v>
      </c>
      <c r="F15" s="44">
        <v>0</v>
      </c>
      <c r="G15" s="44">
        <v>0</v>
      </c>
      <c r="H15" s="44">
        <f>E15+F15+G15</f>
        <v>0</v>
      </c>
      <c r="I15" s="44">
        <f>H15*D15</f>
        <v>0</v>
      </c>
      <c r="J15" s="42" t="s">
        <v>205</v>
      </c>
    </row>
    <row r="16" spans="1:10" s="31" customFormat="1" ht="56.25" outlineLevel="2">
      <c r="A16" s="47">
        <v>4</v>
      </c>
      <c r="B16" s="42" t="s">
        <v>104</v>
      </c>
      <c r="C16" s="43" t="s">
        <v>105</v>
      </c>
      <c r="D16" s="44">
        <v>6</v>
      </c>
      <c r="E16" s="44">
        <v>0</v>
      </c>
      <c r="F16" s="44">
        <v>0</v>
      </c>
      <c r="G16" s="44">
        <v>0</v>
      </c>
      <c r="H16" s="44">
        <f>E16+F16+G16</f>
        <v>0</v>
      </c>
      <c r="I16" s="44">
        <f>H16*D16</f>
        <v>0</v>
      </c>
      <c r="J16" s="42" t="s">
        <v>106</v>
      </c>
    </row>
    <row r="17" spans="1:10" s="31" customFormat="1" ht="56.25" outlineLevel="2">
      <c r="A17" s="37">
        <v>5</v>
      </c>
      <c r="B17" s="42" t="s">
        <v>107</v>
      </c>
      <c r="C17" s="47" t="s">
        <v>91</v>
      </c>
      <c r="D17" s="44">
        <f>1.4*2.15*2</f>
        <v>6.02</v>
      </c>
      <c r="E17" s="44">
        <v>0</v>
      </c>
      <c r="F17" s="44">
        <v>0</v>
      </c>
      <c r="G17" s="44">
        <v>0</v>
      </c>
      <c r="H17" s="44">
        <f>E17+F17+G17</f>
        <v>0</v>
      </c>
      <c r="I17" s="44">
        <f>H17*D17</f>
        <v>0</v>
      </c>
      <c r="J17" s="42" t="s">
        <v>177</v>
      </c>
    </row>
    <row r="18" spans="1:10" s="31" customFormat="1" outlineLevel="1">
      <c r="A18" s="46"/>
      <c r="B18" s="42" t="s">
        <v>109</v>
      </c>
      <c r="C18" s="43"/>
      <c r="D18" s="44"/>
      <c r="E18" s="44"/>
      <c r="F18" s="44"/>
      <c r="G18" s="44"/>
      <c r="H18" s="44"/>
      <c r="I18" s="44"/>
      <c r="J18" s="42"/>
    </row>
    <row r="19" spans="1:10" s="31" customFormat="1" ht="45" outlineLevel="2">
      <c r="A19" s="37">
        <v>1</v>
      </c>
      <c r="B19" s="42" t="s">
        <v>112</v>
      </c>
      <c r="C19" s="43" t="s">
        <v>80</v>
      </c>
      <c r="D19" s="44">
        <f>4.74+4.4+1.28*0.45*7*2</f>
        <v>17.2</v>
      </c>
      <c r="E19" s="44">
        <v>0</v>
      </c>
      <c r="F19" s="44">
        <v>0</v>
      </c>
      <c r="G19" s="44">
        <v>0</v>
      </c>
      <c r="H19" s="44">
        <f>E19+F19+G19</f>
        <v>0</v>
      </c>
      <c r="I19" s="44">
        <f>H19*D19</f>
        <v>0</v>
      </c>
      <c r="J19" s="42" t="s">
        <v>111</v>
      </c>
    </row>
    <row r="20" spans="1:10" s="31" customFormat="1" ht="45" outlineLevel="2">
      <c r="A20" s="37">
        <v>2</v>
      </c>
      <c r="B20" s="42" t="s">
        <v>113</v>
      </c>
      <c r="C20" s="43" t="s">
        <v>80</v>
      </c>
      <c r="D20" s="44">
        <f>2.34*0.65*2</f>
        <v>3.04</v>
      </c>
      <c r="E20" s="44">
        <v>0</v>
      </c>
      <c r="F20" s="44">
        <v>0</v>
      </c>
      <c r="G20" s="44">
        <v>0</v>
      </c>
      <c r="H20" s="44">
        <f>E20+F20+G20</f>
        <v>0</v>
      </c>
      <c r="I20" s="44">
        <f>H20*D20</f>
        <v>0</v>
      </c>
      <c r="J20" s="42" t="s">
        <v>114</v>
      </c>
    </row>
    <row r="21" spans="1:10" s="33" customFormat="1" ht="19.899999999999999" customHeight="1" outlineLevel="2">
      <c r="A21" s="49"/>
      <c r="B21" s="42" t="s">
        <v>115</v>
      </c>
      <c r="C21" s="47"/>
      <c r="D21" s="48"/>
      <c r="E21" s="44"/>
      <c r="F21" s="44"/>
      <c r="G21" s="44"/>
      <c r="H21" s="44"/>
      <c r="I21" s="44">
        <f>SUM(I7:I20)</f>
        <v>0</v>
      </c>
      <c r="J21" s="42"/>
    </row>
    <row r="22" spans="1:10" s="30" customFormat="1">
      <c r="A22" s="38" t="s">
        <v>25</v>
      </c>
      <c r="B22" s="39" t="s">
        <v>192</v>
      </c>
      <c r="C22" s="38"/>
      <c r="D22" s="40"/>
      <c r="E22" s="40"/>
      <c r="F22" s="40"/>
      <c r="G22" s="40"/>
      <c r="H22" s="40"/>
      <c r="I22" s="40"/>
      <c r="J22" s="39"/>
    </row>
    <row r="23" spans="1:10" s="31" customFormat="1" outlineLevel="1">
      <c r="A23" s="47"/>
      <c r="B23" s="42" t="s">
        <v>78</v>
      </c>
      <c r="C23" s="43"/>
      <c r="D23" s="44"/>
      <c r="E23" s="44"/>
      <c r="F23" s="44"/>
      <c r="G23" s="44"/>
      <c r="H23" s="44"/>
      <c r="I23" s="44"/>
      <c r="J23" s="42"/>
    </row>
    <row r="24" spans="1:10" s="31" customFormat="1" ht="67.5" outlineLevel="2">
      <c r="A24" s="37">
        <v>1</v>
      </c>
      <c r="B24" s="42" t="s">
        <v>79</v>
      </c>
      <c r="C24" s="43" t="s">
        <v>80</v>
      </c>
      <c r="D24" s="44">
        <v>11.6</v>
      </c>
      <c r="E24" s="44">
        <v>0</v>
      </c>
      <c r="F24" s="44">
        <v>0</v>
      </c>
      <c r="G24" s="44">
        <v>0</v>
      </c>
      <c r="H24" s="44">
        <f t="shared" ref="H24:H27" si="2">E24+F24+G24</f>
        <v>0</v>
      </c>
      <c r="I24" s="44">
        <f t="shared" ref="I24:I27" si="3">H24*D24</f>
        <v>0</v>
      </c>
      <c r="J24" s="42" t="s">
        <v>81</v>
      </c>
    </row>
    <row r="25" spans="1:10" s="31" customFormat="1" ht="67.5" outlineLevel="2">
      <c r="A25" s="47">
        <v>2</v>
      </c>
      <c r="B25" s="42" t="s">
        <v>127</v>
      </c>
      <c r="C25" s="43" t="s">
        <v>80</v>
      </c>
      <c r="D25" s="44">
        <v>11.6</v>
      </c>
      <c r="E25" s="44">
        <v>0</v>
      </c>
      <c r="F25" s="44">
        <v>0</v>
      </c>
      <c r="G25" s="44">
        <v>0</v>
      </c>
      <c r="H25" s="44">
        <f t="shared" si="2"/>
        <v>0</v>
      </c>
      <c r="I25" s="44">
        <f t="shared" si="3"/>
        <v>0</v>
      </c>
      <c r="J25" s="42" t="s">
        <v>178</v>
      </c>
    </row>
    <row r="26" spans="1:10" s="31" customFormat="1" ht="56.25" outlineLevel="2">
      <c r="A26" s="37">
        <v>3</v>
      </c>
      <c r="B26" s="42" t="s">
        <v>84</v>
      </c>
      <c r="C26" s="43" t="s">
        <v>85</v>
      </c>
      <c r="D26" s="44">
        <v>16.7</v>
      </c>
      <c r="E26" s="44">
        <v>0</v>
      </c>
      <c r="F26" s="44">
        <v>0</v>
      </c>
      <c r="G26" s="44">
        <v>0</v>
      </c>
      <c r="H26" s="44">
        <f t="shared" si="2"/>
        <v>0</v>
      </c>
      <c r="I26" s="44">
        <f t="shared" si="3"/>
        <v>0</v>
      </c>
      <c r="J26" s="42" t="s">
        <v>129</v>
      </c>
    </row>
    <row r="27" spans="1:10" s="32" customFormat="1" ht="56.25" outlineLevel="2">
      <c r="A27" s="47">
        <v>4</v>
      </c>
      <c r="B27" s="42" t="s">
        <v>130</v>
      </c>
      <c r="C27" s="43" t="s">
        <v>121</v>
      </c>
      <c r="D27" s="44">
        <v>3</v>
      </c>
      <c r="E27" s="44">
        <v>0</v>
      </c>
      <c r="F27" s="44">
        <v>0</v>
      </c>
      <c r="G27" s="44">
        <v>0</v>
      </c>
      <c r="H27" s="44">
        <f t="shared" si="2"/>
        <v>0</v>
      </c>
      <c r="I27" s="44">
        <f t="shared" si="3"/>
        <v>0</v>
      </c>
      <c r="J27" s="42" t="s">
        <v>131</v>
      </c>
    </row>
    <row r="28" spans="1:10" s="31" customFormat="1" outlineLevel="1">
      <c r="A28" s="37"/>
      <c r="B28" s="42" t="s">
        <v>89</v>
      </c>
      <c r="C28" s="43"/>
      <c r="D28" s="44"/>
      <c r="E28" s="44"/>
      <c r="F28" s="44"/>
      <c r="G28" s="44"/>
      <c r="H28" s="44"/>
      <c r="I28" s="44"/>
      <c r="J28" s="42"/>
    </row>
    <row r="29" spans="1:10" s="33" customFormat="1" ht="67.5" outlineLevel="2">
      <c r="A29" s="47">
        <v>1</v>
      </c>
      <c r="B29" s="42" t="s">
        <v>90</v>
      </c>
      <c r="C29" s="47" t="s">
        <v>91</v>
      </c>
      <c r="D29" s="48">
        <f>(16.7-0.8)*2.15-2*2.7</f>
        <v>28.79</v>
      </c>
      <c r="E29" s="44">
        <v>0</v>
      </c>
      <c r="F29" s="44">
        <v>0</v>
      </c>
      <c r="G29" s="44">
        <v>0</v>
      </c>
      <c r="H29" s="44">
        <f>E29+F29+G29</f>
        <v>0</v>
      </c>
      <c r="I29" s="44">
        <f>H29*D29</f>
        <v>0</v>
      </c>
      <c r="J29" s="42" t="s">
        <v>92</v>
      </c>
    </row>
    <row r="30" spans="1:10" s="31" customFormat="1" ht="56.25" outlineLevel="2">
      <c r="A30" s="37">
        <v>2</v>
      </c>
      <c r="B30" s="42" t="s">
        <v>132</v>
      </c>
      <c r="C30" s="47" t="s">
        <v>91</v>
      </c>
      <c r="D30" s="48">
        <f>(16.7-0.8)*2.15-2*2.7</f>
        <v>28.79</v>
      </c>
      <c r="E30" s="44">
        <v>0</v>
      </c>
      <c r="F30" s="44">
        <v>0</v>
      </c>
      <c r="G30" s="44">
        <v>0</v>
      </c>
      <c r="H30" s="44">
        <f>E30+F30+G30</f>
        <v>0</v>
      </c>
      <c r="I30" s="44">
        <f>H30*D30</f>
        <v>0</v>
      </c>
      <c r="J30" s="42" t="s">
        <v>193</v>
      </c>
    </row>
    <row r="31" spans="1:10" s="31" customFormat="1" ht="56.25" outlineLevel="2">
      <c r="A31" s="47">
        <v>3</v>
      </c>
      <c r="B31" s="42" t="s">
        <v>180</v>
      </c>
      <c r="C31" s="43" t="s">
        <v>105</v>
      </c>
      <c r="D31" s="44">
        <v>1</v>
      </c>
      <c r="E31" s="44">
        <v>0</v>
      </c>
      <c r="F31" s="44">
        <v>0</v>
      </c>
      <c r="G31" s="44">
        <v>0</v>
      </c>
      <c r="H31" s="44">
        <f>E31+F31+G31</f>
        <v>0</v>
      </c>
      <c r="I31" s="44">
        <f>H31*D31</f>
        <v>0</v>
      </c>
      <c r="J31" s="42" t="s">
        <v>181</v>
      </c>
    </row>
    <row r="32" spans="1:10" s="31" customFormat="1" outlineLevel="1">
      <c r="A32" s="47"/>
      <c r="B32" s="42" t="s">
        <v>109</v>
      </c>
      <c r="C32" s="43"/>
      <c r="D32" s="44"/>
      <c r="E32" s="44"/>
      <c r="F32" s="44"/>
      <c r="G32" s="44"/>
      <c r="H32" s="44"/>
      <c r="I32" s="44"/>
      <c r="J32" s="42"/>
    </row>
    <row r="33" spans="1:10" s="31" customFormat="1" ht="56.25" outlineLevel="2">
      <c r="A33" s="37">
        <v>1</v>
      </c>
      <c r="B33" s="42" t="s">
        <v>136</v>
      </c>
      <c r="C33" s="43" t="s">
        <v>80</v>
      </c>
      <c r="D33" s="44">
        <v>11.6</v>
      </c>
      <c r="E33" s="44">
        <v>0</v>
      </c>
      <c r="F33" s="44">
        <v>0</v>
      </c>
      <c r="G33" s="44">
        <v>0</v>
      </c>
      <c r="H33" s="44">
        <f>E33+F33+G33</f>
        <v>0</v>
      </c>
      <c r="I33" s="44">
        <f>H33*D33</f>
        <v>0</v>
      </c>
      <c r="J33" s="42" t="s">
        <v>137</v>
      </c>
    </row>
    <row r="34" spans="1:10" s="33" customFormat="1" ht="36.950000000000003" customHeight="1" outlineLevel="2">
      <c r="A34" s="47">
        <v>2</v>
      </c>
      <c r="B34" s="42" t="s">
        <v>138</v>
      </c>
      <c r="C34" s="47" t="s">
        <v>121</v>
      </c>
      <c r="D34" s="48">
        <v>2</v>
      </c>
      <c r="E34" s="44">
        <v>0</v>
      </c>
      <c r="F34" s="44">
        <v>0</v>
      </c>
      <c r="G34" s="44">
        <v>0</v>
      </c>
      <c r="H34" s="44">
        <f t="shared" ref="H34:H40" si="4">G34+F34+E34</f>
        <v>0</v>
      </c>
      <c r="I34" s="44">
        <f>H34*D34</f>
        <v>0</v>
      </c>
      <c r="J34" s="42" t="s">
        <v>139</v>
      </c>
    </row>
    <row r="35" spans="1:10" s="31" customFormat="1" outlineLevel="1">
      <c r="A35" s="37"/>
      <c r="B35" s="42" t="s">
        <v>140</v>
      </c>
      <c r="C35" s="43"/>
      <c r="D35" s="44"/>
      <c r="E35" s="44"/>
      <c r="F35" s="44"/>
      <c r="G35" s="44"/>
      <c r="H35" s="44"/>
      <c r="I35" s="44"/>
      <c r="J35" s="42"/>
    </row>
    <row r="36" spans="1:10" s="33" customFormat="1" ht="41.1" customHeight="1" outlineLevel="2">
      <c r="A36" s="47">
        <v>1</v>
      </c>
      <c r="B36" s="42" t="s">
        <v>141</v>
      </c>
      <c r="C36" s="47" t="s">
        <v>121</v>
      </c>
      <c r="D36" s="48">
        <v>1</v>
      </c>
      <c r="E36" s="44">
        <v>0</v>
      </c>
      <c r="F36" s="44">
        <v>0</v>
      </c>
      <c r="G36" s="44">
        <v>0</v>
      </c>
      <c r="H36" s="44">
        <f t="shared" si="4"/>
        <v>0</v>
      </c>
      <c r="I36" s="44">
        <f t="shared" ref="I36:I40" si="5">H36*D36</f>
        <v>0</v>
      </c>
      <c r="J36" s="42" t="s">
        <v>142</v>
      </c>
    </row>
    <row r="37" spans="1:10" s="33" customFormat="1" ht="21.95" customHeight="1" outlineLevel="2">
      <c r="A37" s="37">
        <v>2</v>
      </c>
      <c r="B37" s="42" t="s">
        <v>143</v>
      </c>
      <c r="C37" s="47" t="s">
        <v>144</v>
      </c>
      <c r="D37" s="48">
        <v>1</v>
      </c>
      <c r="E37" s="44">
        <v>0</v>
      </c>
      <c r="F37" s="44">
        <v>0</v>
      </c>
      <c r="G37" s="44">
        <v>0</v>
      </c>
      <c r="H37" s="44">
        <f t="shared" si="4"/>
        <v>0</v>
      </c>
      <c r="I37" s="44">
        <f t="shared" si="5"/>
        <v>0</v>
      </c>
      <c r="J37" s="42" t="s">
        <v>145</v>
      </c>
    </row>
    <row r="38" spans="1:10" s="33" customFormat="1" ht="30" customHeight="1" outlineLevel="2">
      <c r="A38" s="47">
        <v>3</v>
      </c>
      <c r="B38" s="42" t="s">
        <v>146</v>
      </c>
      <c r="C38" s="47" t="s">
        <v>121</v>
      </c>
      <c r="D38" s="48">
        <v>3</v>
      </c>
      <c r="E38" s="44">
        <v>0</v>
      </c>
      <c r="F38" s="44">
        <v>0</v>
      </c>
      <c r="G38" s="44">
        <v>0</v>
      </c>
      <c r="H38" s="44">
        <f t="shared" si="4"/>
        <v>0</v>
      </c>
      <c r="I38" s="44">
        <f t="shared" si="5"/>
        <v>0</v>
      </c>
      <c r="J38" s="42" t="s">
        <v>147</v>
      </c>
    </row>
    <row r="39" spans="1:10" s="33" customFormat="1" ht="30.95" customHeight="1" outlineLevel="2">
      <c r="A39" s="37">
        <v>4</v>
      </c>
      <c r="B39" s="42" t="s">
        <v>148</v>
      </c>
      <c r="C39" s="47" t="s">
        <v>121</v>
      </c>
      <c r="D39" s="48">
        <v>3</v>
      </c>
      <c r="E39" s="44">
        <v>0</v>
      </c>
      <c r="F39" s="44">
        <v>0</v>
      </c>
      <c r="G39" s="44">
        <v>0</v>
      </c>
      <c r="H39" s="44">
        <f t="shared" si="4"/>
        <v>0</v>
      </c>
      <c r="I39" s="44">
        <f t="shared" si="5"/>
        <v>0</v>
      </c>
      <c r="J39" s="42" t="s">
        <v>149</v>
      </c>
    </row>
    <row r="40" spans="1:10" s="33" customFormat="1" ht="30.95" customHeight="1" outlineLevel="2">
      <c r="A40" s="47">
        <v>5</v>
      </c>
      <c r="B40" s="42" t="s">
        <v>150</v>
      </c>
      <c r="C40" s="47" t="s">
        <v>121</v>
      </c>
      <c r="D40" s="48">
        <v>3</v>
      </c>
      <c r="E40" s="44">
        <v>0</v>
      </c>
      <c r="F40" s="44">
        <v>0</v>
      </c>
      <c r="G40" s="44">
        <v>0</v>
      </c>
      <c r="H40" s="44">
        <f t="shared" si="4"/>
        <v>0</v>
      </c>
      <c r="I40" s="44">
        <f t="shared" si="5"/>
        <v>0</v>
      </c>
      <c r="J40" s="42" t="s">
        <v>151</v>
      </c>
    </row>
    <row r="41" spans="1:10" s="33" customFormat="1" ht="19.899999999999999" customHeight="1" outlineLevel="2">
      <c r="A41" s="47"/>
      <c r="B41" s="42" t="s">
        <v>115</v>
      </c>
      <c r="C41" s="47"/>
      <c r="D41" s="48"/>
      <c r="E41" s="44"/>
      <c r="F41" s="44"/>
      <c r="G41" s="44"/>
      <c r="H41" s="44"/>
      <c r="I41" s="44">
        <f>SUM(I24:I40)</f>
        <v>0</v>
      </c>
      <c r="J41" s="42"/>
    </row>
  </sheetData>
  <sheetProtection formatCells="0" formatColumns="0" formatRows="0" insertColumns="0" insertRows="0" insertHyperlinks="0" deleteColumns="0" deleteRows="0" sort="0" autoFilter="0" pivotTables="0"/>
  <autoFilter ref="A4:J41" xr:uid="{00000000-0009-0000-0000-000006000000}"/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3" type="noConversion"/>
  <printOptions horizontalCentered="1"/>
  <pageMargins left="0.39305555555555599" right="0.39305555555555599" top="0.39305555555555599" bottom="0.59027777777777801" header="0.39305555555555599" footer="0.39305555555555599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J70"/>
  <sheetViews>
    <sheetView view="pageBreakPreview" zoomScale="130" zoomScaleNormal="100" workbookViewId="0">
      <pane ySplit="4" topLeftCell="A47" activePane="bottomLeft" state="frozen"/>
      <selection pane="bottomLeft" activeCell="D75" sqref="D75"/>
    </sheetView>
  </sheetViews>
  <sheetFormatPr defaultColWidth="8.875" defaultRowHeight="12.75" outlineLevelRow="2"/>
  <cols>
    <col min="1" max="1" width="5.75" style="34" customWidth="1"/>
    <col min="2" max="2" width="19.625" style="35" customWidth="1"/>
    <col min="3" max="3" width="5" style="36" customWidth="1"/>
    <col min="4" max="8" width="8.875" style="36"/>
    <col min="9" max="9" width="9.5" style="36"/>
    <col min="10" max="10" width="27.375" style="36" customWidth="1"/>
    <col min="11" max="16384" width="8.875" style="36"/>
  </cols>
  <sheetData>
    <row r="1" spans="1:10" s="28" customFormat="1" ht="20.100000000000001" customHeight="1">
      <c r="A1" s="99" t="s">
        <v>66</v>
      </c>
      <c r="B1" s="100"/>
      <c r="C1" s="99"/>
      <c r="D1" s="101"/>
      <c r="E1" s="101"/>
      <c r="F1" s="101"/>
      <c r="G1" s="101"/>
      <c r="H1" s="101"/>
      <c r="I1" s="101"/>
      <c r="J1" s="99"/>
    </row>
    <row r="2" spans="1:10" s="29" customFormat="1" ht="15" customHeight="1">
      <c r="A2" s="102" t="s">
        <v>206</v>
      </c>
      <c r="B2" s="102"/>
      <c r="C2" s="102"/>
      <c r="D2" s="103"/>
      <c r="E2" s="104"/>
      <c r="F2" s="104"/>
      <c r="G2" s="104"/>
      <c r="H2" s="103"/>
      <c r="I2" s="103"/>
      <c r="J2" s="102"/>
    </row>
    <row r="3" spans="1:10" s="28" customFormat="1">
      <c r="A3" s="105"/>
      <c r="B3" s="107" t="s">
        <v>68</v>
      </c>
      <c r="C3" s="107" t="s">
        <v>69</v>
      </c>
      <c r="D3" s="104" t="s">
        <v>70</v>
      </c>
      <c r="E3" s="104" t="s">
        <v>71</v>
      </c>
      <c r="F3" s="110" t="s">
        <v>72</v>
      </c>
      <c r="G3" s="104" t="s">
        <v>73</v>
      </c>
      <c r="H3" s="112" t="s">
        <v>74</v>
      </c>
      <c r="I3" s="104" t="s">
        <v>75</v>
      </c>
      <c r="J3" s="113" t="s">
        <v>76</v>
      </c>
    </row>
    <row r="4" spans="1:10" s="28" customFormat="1">
      <c r="A4" s="106"/>
      <c r="B4" s="108"/>
      <c r="C4" s="108"/>
      <c r="D4" s="109"/>
      <c r="E4" s="109"/>
      <c r="F4" s="111"/>
      <c r="G4" s="109"/>
      <c r="H4" s="112"/>
      <c r="I4" s="104"/>
      <c r="J4" s="113"/>
    </row>
    <row r="5" spans="1:10" s="30" customFormat="1">
      <c r="A5" s="38" t="s">
        <v>14</v>
      </c>
      <c r="B5" s="39" t="s">
        <v>207</v>
      </c>
      <c r="C5" s="38"/>
      <c r="D5" s="40"/>
      <c r="E5" s="40"/>
      <c r="F5" s="40"/>
      <c r="G5" s="40"/>
      <c r="H5" s="40"/>
      <c r="I5" s="40"/>
      <c r="J5" s="39"/>
    </row>
    <row r="6" spans="1:10" s="31" customFormat="1" outlineLevel="1">
      <c r="A6" s="41"/>
      <c r="B6" s="42" t="s">
        <v>78</v>
      </c>
      <c r="C6" s="43"/>
      <c r="D6" s="44"/>
      <c r="E6" s="44"/>
      <c r="F6" s="44"/>
      <c r="G6" s="44"/>
      <c r="H6" s="44"/>
      <c r="I6" s="44"/>
      <c r="J6" s="42"/>
    </row>
    <row r="7" spans="1:10" s="31" customFormat="1" ht="63" customHeight="1" outlineLevel="2">
      <c r="A7" s="43">
        <v>1</v>
      </c>
      <c r="B7" s="42" t="s">
        <v>79</v>
      </c>
      <c r="C7" s="43" t="s">
        <v>80</v>
      </c>
      <c r="D7" s="44">
        <v>253.13</v>
      </c>
      <c r="E7" s="44">
        <v>0</v>
      </c>
      <c r="F7" s="44">
        <v>0</v>
      </c>
      <c r="G7" s="44">
        <v>0</v>
      </c>
      <c r="H7" s="44">
        <f t="shared" ref="H7:H11" si="0">E7+F7+G7</f>
        <v>0</v>
      </c>
      <c r="I7" s="44">
        <f t="shared" ref="I7:I11" si="1">H7*D7</f>
        <v>0</v>
      </c>
      <c r="J7" s="42" t="s">
        <v>81</v>
      </c>
    </row>
    <row r="8" spans="1:10" s="31" customFormat="1" ht="56.25" outlineLevel="2">
      <c r="A8" s="43">
        <v>2</v>
      </c>
      <c r="B8" s="42" t="s">
        <v>203</v>
      </c>
      <c r="C8" s="43" t="s">
        <v>121</v>
      </c>
      <c r="D8" s="44">
        <v>16</v>
      </c>
      <c r="E8" s="44">
        <v>0</v>
      </c>
      <c r="F8" s="44">
        <v>0</v>
      </c>
      <c r="G8" s="44">
        <v>0</v>
      </c>
      <c r="H8" s="44">
        <f t="shared" si="0"/>
        <v>0</v>
      </c>
      <c r="I8" s="44">
        <f t="shared" si="1"/>
        <v>0</v>
      </c>
      <c r="J8" s="42" t="s">
        <v>204</v>
      </c>
    </row>
    <row r="9" spans="1:10" s="31" customFormat="1" ht="67.5" outlineLevel="2">
      <c r="A9" s="43">
        <v>3</v>
      </c>
      <c r="B9" s="42" t="s">
        <v>82</v>
      </c>
      <c r="C9" s="43" t="s">
        <v>80</v>
      </c>
      <c r="D9" s="44">
        <f>253.13-38.58</f>
        <v>214.55</v>
      </c>
      <c r="E9" s="44">
        <v>0</v>
      </c>
      <c r="F9" s="44">
        <v>0</v>
      </c>
      <c r="G9" s="44">
        <v>0</v>
      </c>
      <c r="H9" s="44">
        <f t="shared" si="0"/>
        <v>0</v>
      </c>
      <c r="I9" s="44">
        <f t="shared" si="1"/>
        <v>0</v>
      </c>
      <c r="J9" s="42" t="s">
        <v>83</v>
      </c>
    </row>
    <row r="10" spans="1:10" s="31" customFormat="1" ht="56.25" outlineLevel="2">
      <c r="A10" s="43">
        <v>4</v>
      </c>
      <c r="B10" s="42" t="s">
        <v>84</v>
      </c>
      <c r="C10" s="43" t="s">
        <v>85</v>
      </c>
      <c r="D10" s="44">
        <v>83.73</v>
      </c>
      <c r="E10" s="44">
        <v>0</v>
      </c>
      <c r="F10" s="44">
        <v>0</v>
      </c>
      <c r="G10" s="44">
        <v>0</v>
      </c>
      <c r="H10" s="44">
        <f t="shared" si="0"/>
        <v>0</v>
      </c>
      <c r="I10" s="44">
        <f t="shared" si="1"/>
        <v>0</v>
      </c>
      <c r="J10" s="42" t="s">
        <v>86</v>
      </c>
    </row>
    <row r="11" spans="1:10" s="32" customFormat="1" ht="56.25" outlineLevel="2">
      <c r="A11" s="45">
        <v>5</v>
      </c>
      <c r="B11" s="42" t="s">
        <v>87</v>
      </c>
      <c r="C11" s="43" t="s">
        <v>85</v>
      </c>
      <c r="D11" s="44">
        <v>22.6</v>
      </c>
      <c r="E11" s="44">
        <v>0</v>
      </c>
      <c r="F11" s="44">
        <v>0</v>
      </c>
      <c r="G11" s="44">
        <v>0</v>
      </c>
      <c r="H11" s="44">
        <f t="shared" si="0"/>
        <v>0</v>
      </c>
      <c r="I11" s="44">
        <f t="shared" si="1"/>
        <v>0</v>
      </c>
      <c r="J11" s="42" t="s">
        <v>88</v>
      </c>
    </row>
    <row r="12" spans="1:10" s="31" customFormat="1" outlineLevel="1">
      <c r="A12" s="46"/>
      <c r="B12" s="42" t="s">
        <v>89</v>
      </c>
      <c r="C12" s="43"/>
      <c r="D12" s="44"/>
      <c r="E12" s="44"/>
      <c r="F12" s="44"/>
      <c r="G12" s="44"/>
      <c r="H12" s="44"/>
      <c r="I12" s="44"/>
      <c r="J12" s="42"/>
    </row>
    <row r="13" spans="1:10" s="33" customFormat="1" ht="67.5" outlineLevel="2">
      <c r="A13" s="47">
        <v>1</v>
      </c>
      <c r="B13" s="42" t="s">
        <v>90</v>
      </c>
      <c r="C13" s="47" t="s">
        <v>91</v>
      </c>
      <c r="D13" s="48">
        <f>(83.73-4.8-1.6-2.8-3-1.6)*2.2-21.6</f>
        <v>132.25</v>
      </c>
      <c r="E13" s="44">
        <v>0</v>
      </c>
      <c r="F13" s="44">
        <v>0</v>
      </c>
      <c r="G13" s="44">
        <v>0</v>
      </c>
      <c r="H13" s="44">
        <f>E13+F13+G13</f>
        <v>0</v>
      </c>
      <c r="I13" s="44">
        <f>H13*D13</f>
        <v>0</v>
      </c>
      <c r="J13" s="42" t="s">
        <v>92</v>
      </c>
    </row>
    <row r="14" spans="1:10" s="31" customFormat="1" ht="67.5" outlineLevel="2">
      <c r="A14" s="37">
        <v>2</v>
      </c>
      <c r="B14" s="42" t="s">
        <v>93</v>
      </c>
      <c r="C14" s="47" t="s">
        <v>91</v>
      </c>
      <c r="D14" s="48">
        <f>(83.73-4.8-1.6-2.8-3-1.6)*2.2-21.6</f>
        <v>132.25</v>
      </c>
      <c r="E14" s="44">
        <v>0</v>
      </c>
      <c r="F14" s="44">
        <v>0</v>
      </c>
      <c r="G14" s="44">
        <v>0</v>
      </c>
      <c r="H14" s="44">
        <f>E14+F14+G14</f>
        <v>0</v>
      </c>
      <c r="I14" s="44">
        <f>H14*D14</f>
        <v>0</v>
      </c>
      <c r="J14" s="42" t="s">
        <v>165</v>
      </c>
    </row>
    <row r="15" spans="1:10" s="31" customFormat="1" ht="67.5" outlineLevel="2">
      <c r="A15" s="47">
        <v>3</v>
      </c>
      <c r="B15" s="42" t="s">
        <v>95</v>
      </c>
      <c r="C15" s="47" t="s">
        <v>96</v>
      </c>
      <c r="D15" s="48">
        <v>4</v>
      </c>
      <c r="E15" s="44">
        <v>0</v>
      </c>
      <c r="F15" s="44">
        <v>0</v>
      </c>
      <c r="G15" s="44">
        <v>0</v>
      </c>
      <c r="H15" s="44">
        <f>E15+F15+G15</f>
        <v>0</v>
      </c>
      <c r="I15" s="44">
        <f>H15*D15</f>
        <v>0</v>
      </c>
      <c r="J15" s="42" t="s">
        <v>208</v>
      </c>
    </row>
    <row r="16" spans="1:10" s="31" customFormat="1" ht="56.25" outlineLevel="2">
      <c r="A16" s="37">
        <v>4</v>
      </c>
      <c r="B16" s="42" t="s">
        <v>104</v>
      </c>
      <c r="C16" s="43" t="s">
        <v>105</v>
      </c>
      <c r="D16" s="44">
        <v>6</v>
      </c>
      <c r="E16" s="44">
        <v>0</v>
      </c>
      <c r="F16" s="44">
        <v>0</v>
      </c>
      <c r="G16" s="44">
        <v>0</v>
      </c>
      <c r="H16" s="44">
        <f>E16+F16+G16</f>
        <v>0</v>
      </c>
      <c r="I16" s="44">
        <f>H16*D16</f>
        <v>0</v>
      </c>
      <c r="J16" s="42" t="s">
        <v>106</v>
      </c>
    </row>
    <row r="17" spans="1:10" s="31" customFormat="1" ht="56.25" outlineLevel="2">
      <c r="A17" s="45">
        <v>5</v>
      </c>
      <c r="B17" s="42" t="s">
        <v>107</v>
      </c>
      <c r="C17" s="47" t="s">
        <v>91</v>
      </c>
      <c r="D17" s="44">
        <f>1.4*2.15*2</f>
        <v>6.02</v>
      </c>
      <c r="E17" s="44">
        <v>0</v>
      </c>
      <c r="F17" s="44">
        <v>0</v>
      </c>
      <c r="G17" s="44">
        <v>0</v>
      </c>
      <c r="H17" s="44">
        <f>E17+F17+G17</f>
        <v>0</v>
      </c>
      <c r="I17" s="44">
        <f>H17*D17</f>
        <v>0</v>
      </c>
      <c r="J17" s="42" t="s">
        <v>177</v>
      </c>
    </row>
    <row r="18" spans="1:10" s="33" customFormat="1" ht="19.899999999999999" customHeight="1" outlineLevel="2">
      <c r="A18" s="49"/>
      <c r="B18" s="42" t="s">
        <v>115</v>
      </c>
      <c r="C18" s="47"/>
      <c r="D18" s="48"/>
      <c r="E18" s="44"/>
      <c r="F18" s="44"/>
      <c r="G18" s="44"/>
      <c r="H18" s="44"/>
      <c r="I18" s="44">
        <f>SUM(I7:I17)</f>
        <v>0</v>
      </c>
      <c r="J18" s="42"/>
    </row>
    <row r="19" spans="1:10" s="30" customFormat="1">
      <c r="A19" s="38" t="s">
        <v>25</v>
      </c>
      <c r="B19" s="39" t="s">
        <v>126</v>
      </c>
      <c r="C19" s="38"/>
      <c r="D19" s="40"/>
      <c r="E19" s="40"/>
      <c r="F19" s="40"/>
      <c r="G19" s="40"/>
      <c r="H19" s="40"/>
      <c r="I19" s="40"/>
      <c r="J19" s="39"/>
    </row>
    <row r="20" spans="1:10" s="31" customFormat="1" outlineLevel="1">
      <c r="A20" s="43"/>
      <c r="B20" s="42" t="s">
        <v>78</v>
      </c>
      <c r="C20" s="43"/>
      <c r="D20" s="44"/>
      <c r="E20" s="44"/>
      <c r="F20" s="44"/>
      <c r="G20" s="44"/>
      <c r="H20" s="44"/>
      <c r="I20" s="44"/>
      <c r="J20" s="42"/>
    </row>
    <row r="21" spans="1:10" s="31" customFormat="1" ht="67.5" outlineLevel="2">
      <c r="A21" s="43">
        <v>1</v>
      </c>
      <c r="B21" s="42" t="s">
        <v>79</v>
      </c>
      <c r="C21" s="43" t="s">
        <v>80</v>
      </c>
      <c r="D21" s="44">
        <f>7.65*2</f>
        <v>15.3</v>
      </c>
      <c r="E21" s="44">
        <v>0</v>
      </c>
      <c r="F21" s="44">
        <v>0</v>
      </c>
      <c r="G21" s="44">
        <v>0</v>
      </c>
      <c r="H21" s="44">
        <f t="shared" ref="H21:H24" si="2">E21+F21+G21</f>
        <v>0</v>
      </c>
      <c r="I21" s="44">
        <f t="shared" ref="I21:I24" si="3">H21*D21</f>
        <v>0</v>
      </c>
      <c r="J21" s="42" t="s">
        <v>81</v>
      </c>
    </row>
    <row r="22" spans="1:10" s="31" customFormat="1" ht="67.5" outlineLevel="2">
      <c r="A22" s="43">
        <v>2</v>
      </c>
      <c r="B22" s="42" t="s">
        <v>127</v>
      </c>
      <c r="C22" s="43" t="s">
        <v>80</v>
      </c>
      <c r="D22" s="44">
        <f>7.65*2</f>
        <v>15.3</v>
      </c>
      <c r="E22" s="44">
        <v>0</v>
      </c>
      <c r="F22" s="44">
        <v>0</v>
      </c>
      <c r="G22" s="44">
        <v>0</v>
      </c>
      <c r="H22" s="44">
        <f t="shared" si="2"/>
        <v>0</v>
      </c>
      <c r="I22" s="44">
        <f t="shared" si="3"/>
        <v>0</v>
      </c>
      <c r="J22" s="42" t="s">
        <v>153</v>
      </c>
    </row>
    <row r="23" spans="1:10" s="31" customFormat="1" ht="56.25" outlineLevel="2">
      <c r="A23" s="43">
        <v>3</v>
      </c>
      <c r="B23" s="42" t="s">
        <v>84</v>
      </c>
      <c r="C23" s="43" t="s">
        <v>85</v>
      </c>
      <c r="D23" s="44">
        <f>11.15*2</f>
        <v>22.3</v>
      </c>
      <c r="E23" s="44">
        <v>0</v>
      </c>
      <c r="F23" s="44">
        <v>0</v>
      </c>
      <c r="G23" s="44">
        <v>0</v>
      </c>
      <c r="H23" s="44">
        <f t="shared" si="2"/>
        <v>0</v>
      </c>
      <c r="I23" s="44">
        <f t="shared" si="3"/>
        <v>0</v>
      </c>
      <c r="J23" s="42" t="s">
        <v>129</v>
      </c>
    </row>
    <row r="24" spans="1:10" s="32" customFormat="1" ht="56.25" outlineLevel="2">
      <c r="A24" s="47">
        <v>4</v>
      </c>
      <c r="B24" s="42" t="s">
        <v>130</v>
      </c>
      <c r="C24" s="43" t="s">
        <v>121</v>
      </c>
      <c r="D24" s="44">
        <v>4</v>
      </c>
      <c r="E24" s="44">
        <v>0</v>
      </c>
      <c r="F24" s="44">
        <v>0</v>
      </c>
      <c r="G24" s="44">
        <v>0</v>
      </c>
      <c r="H24" s="44">
        <f t="shared" si="2"/>
        <v>0</v>
      </c>
      <c r="I24" s="44">
        <f t="shared" si="3"/>
        <v>0</v>
      </c>
      <c r="J24" s="42" t="s">
        <v>131</v>
      </c>
    </row>
    <row r="25" spans="1:10" s="31" customFormat="1" outlineLevel="1">
      <c r="A25" s="43"/>
      <c r="B25" s="42" t="s">
        <v>89</v>
      </c>
      <c r="C25" s="43"/>
      <c r="D25" s="44"/>
      <c r="E25" s="44"/>
      <c r="F25" s="44"/>
      <c r="G25" s="44"/>
      <c r="H25" s="44"/>
      <c r="I25" s="44"/>
      <c r="J25" s="42"/>
    </row>
    <row r="26" spans="1:10" s="33" customFormat="1" ht="67.5" outlineLevel="2">
      <c r="A26" s="47">
        <v>1</v>
      </c>
      <c r="B26" s="42" t="s">
        <v>90</v>
      </c>
      <c r="C26" s="47" t="s">
        <v>91</v>
      </c>
      <c r="D26" s="48">
        <f>(11.15*2.15-5.4-1.6)*2</f>
        <v>33.950000000000003</v>
      </c>
      <c r="E26" s="44">
        <v>0</v>
      </c>
      <c r="F26" s="44">
        <v>0</v>
      </c>
      <c r="G26" s="44">
        <v>0</v>
      </c>
      <c r="H26" s="44">
        <f>E26+F26+G26</f>
        <v>0</v>
      </c>
      <c r="I26" s="44">
        <f>H26*D26</f>
        <v>0</v>
      </c>
      <c r="J26" s="42" t="s">
        <v>92</v>
      </c>
    </row>
    <row r="27" spans="1:10" s="31" customFormat="1" ht="56.25" outlineLevel="2">
      <c r="A27" s="37">
        <v>2</v>
      </c>
      <c r="B27" s="42" t="s">
        <v>132</v>
      </c>
      <c r="C27" s="47" t="s">
        <v>91</v>
      </c>
      <c r="D27" s="48">
        <f>(11.15*2.15-5.4-1.6)*2</f>
        <v>33.950000000000003</v>
      </c>
      <c r="E27" s="44">
        <v>0</v>
      </c>
      <c r="F27" s="44">
        <v>0</v>
      </c>
      <c r="G27" s="44">
        <v>0</v>
      </c>
      <c r="H27" s="44">
        <f>E27+F27+G27</f>
        <v>0</v>
      </c>
      <c r="I27" s="44">
        <f>H27*D27</f>
        <v>0</v>
      </c>
      <c r="J27" s="42" t="s">
        <v>209</v>
      </c>
    </row>
    <row r="28" spans="1:10" s="31" customFormat="1" ht="56.25" outlineLevel="2">
      <c r="A28" s="47">
        <v>3</v>
      </c>
      <c r="B28" s="42" t="s">
        <v>180</v>
      </c>
      <c r="C28" s="43" t="s">
        <v>105</v>
      </c>
      <c r="D28" s="44">
        <v>2</v>
      </c>
      <c r="E28" s="44">
        <v>0</v>
      </c>
      <c r="F28" s="44">
        <v>0</v>
      </c>
      <c r="G28" s="44">
        <v>0</v>
      </c>
      <c r="H28" s="44">
        <f>E28+F28+G28</f>
        <v>0</v>
      </c>
      <c r="I28" s="44">
        <f>H28*D28</f>
        <v>0</v>
      </c>
      <c r="J28" s="42" t="s">
        <v>181</v>
      </c>
    </row>
    <row r="29" spans="1:10" s="31" customFormat="1" outlineLevel="1">
      <c r="A29" s="43"/>
      <c r="B29" s="42" t="s">
        <v>109</v>
      </c>
      <c r="C29" s="43"/>
      <c r="D29" s="44"/>
      <c r="E29" s="44"/>
      <c r="F29" s="44"/>
      <c r="G29" s="44"/>
      <c r="H29" s="44"/>
      <c r="I29" s="44"/>
      <c r="J29" s="42"/>
    </row>
    <row r="30" spans="1:10" s="31" customFormat="1" ht="56.25" outlineLevel="2">
      <c r="A30" s="43">
        <v>1</v>
      </c>
      <c r="B30" s="42" t="s">
        <v>136</v>
      </c>
      <c r="C30" s="43" t="s">
        <v>80</v>
      </c>
      <c r="D30" s="44">
        <f>7.65*2</f>
        <v>15.3</v>
      </c>
      <c r="E30" s="44">
        <v>0</v>
      </c>
      <c r="F30" s="44">
        <v>0</v>
      </c>
      <c r="G30" s="44">
        <v>0</v>
      </c>
      <c r="H30" s="44">
        <f>E30+F30+G30</f>
        <v>0</v>
      </c>
      <c r="I30" s="44">
        <f>H30*D30</f>
        <v>0</v>
      </c>
      <c r="J30" s="42" t="s">
        <v>159</v>
      </c>
    </row>
    <row r="31" spans="1:10" s="33" customFormat="1" ht="36.950000000000003" customHeight="1" outlineLevel="2">
      <c r="A31" s="47">
        <v>2</v>
      </c>
      <c r="B31" s="42" t="s">
        <v>138</v>
      </c>
      <c r="C31" s="47" t="s">
        <v>121</v>
      </c>
      <c r="D31" s="48">
        <v>2</v>
      </c>
      <c r="E31" s="44">
        <v>0</v>
      </c>
      <c r="F31" s="44">
        <v>0</v>
      </c>
      <c r="G31" s="44">
        <v>0</v>
      </c>
      <c r="H31" s="44">
        <f t="shared" ref="H31:H37" si="4">G31+F31+E31</f>
        <v>0</v>
      </c>
      <c r="I31" s="44">
        <f>H31*D31</f>
        <v>0</v>
      </c>
      <c r="J31" s="42" t="s">
        <v>139</v>
      </c>
    </row>
    <row r="32" spans="1:10" s="31" customFormat="1" outlineLevel="1" collapsed="1">
      <c r="A32" s="43"/>
      <c r="B32" s="42" t="s">
        <v>140</v>
      </c>
      <c r="C32" s="43"/>
      <c r="D32" s="44"/>
      <c r="E32" s="44"/>
      <c r="F32" s="44"/>
      <c r="G32" s="44"/>
      <c r="H32" s="44"/>
      <c r="I32" s="44"/>
      <c r="J32" s="42"/>
    </row>
    <row r="33" spans="1:10" s="33" customFormat="1" ht="41.1" hidden="1" customHeight="1" outlineLevel="2">
      <c r="A33" s="47">
        <v>1</v>
      </c>
      <c r="B33" s="42" t="s">
        <v>141</v>
      </c>
      <c r="C33" s="47" t="s">
        <v>121</v>
      </c>
      <c r="D33" s="48">
        <v>2</v>
      </c>
      <c r="E33" s="44">
        <v>0</v>
      </c>
      <c r="F33" s="44">
        <v>0</v>
      </c>
      <c r="G33" s="44">
        <v>0</v>
      </c>
      <c r="H33" s="44">
        <f t="shared" si="4"/>
        <v>0</v>
      </c>
      <c r="I33" s="44">
        <f t="shared" ref="I33:I37" si="5">H33*D33</f>
        <v>0</v>
      </c>
      <c r="J33" s="42" t="s">
        <v>142</v>
      </c>
    </row>
    <row r="34" spans="1:10" s="33" customFormat="1" ht="21.95" hidden="1" customHeight="1" outlineLevel="2">
      <c r="A34" s="37">
        <v>2</v>
      </c>
      <c r="B34" s="42" t="s">
        <v>143</v>
      </c>
      <c r="C34" s="47" t="s">
        <v>144</v>
      </c>
      <c r="D34" s="48">
        <v>2</v>
      </c>
      <c r="E34" s="44">
        <v>0</v>
      </c>
      <c r="F34" s="44">
        <v>0</v>
      </c>
      <c r="G34" s="44">
        <v>0</v>
      </c>
      <c r="H34" s="44">
        <f t="shared" si="4"/>
        <v>0</v>
      </c>
      <c r="I34" s="44">
        <f t="shared" si="5"/>
        <v>0</v>
      </c>
      <c r="J34" s="42" t="s">
        <v>145</v>
      </c>
    </row>
    <row r="35" spans="1:10" s="33" customFormat="1" ht="30" hidden="1" customHeight="1" outlineLevel="2">
      <c r="A35" s="47">
        <v>3</v>
      </c>
      <c r="B35" s="42" t="s">
        <v>146</v>
      </c>
      <c r="C35" s="47" t="s">
        <v>121</v>
      </c>
      <c r="D35" s="48">
        <v>4</v>
      </c>
      <c r="E35" s="44">
        <v>0</v>
      </c>
      <c r="F35" s="44">
        <v>0</v>
      </c>
      <c r="G35" s="44">
        <v>0</v>
      </c>
      <c r="H35" s="44">
        <f t="shared" si="4"/>
        <v>0</v>
      </c>
      <c r="I35" s="44">
        <f t="shared" si="5"/>
        <v>0</v>
      </c>
      <c r="J35" s="42" t="s">
        <v>147</v>
      </c>
    </row>
    <row r="36" spans="1:10" s="33" customFormat="1" ht="30.95" hidden="1" customHeight="1" outlineLevel="2">
      <c r="A36" s="37">
        <v>4</v>
      </c>
      <c r="B36" s="42" t="s">
        <v>148</v>
      </c>
      <c r="C36" s="47" t="s">
        <v>121</v>
      </c>
      <c r="D36" s="48">
        <v>4</v>
      </c>
      <c r="E36" s="44">
        <v>0</v>
      </c>
      <c r="F36" s="44">
        <v>0</v>
      </c>
      <c r="G36" s="44">
        <v>0</v>
      </c>
      <c r="H36" s="44">
        <f t="shared" si="4"/>
        <v>0</v>
      </c>
      <c r="I36" s="44">
        <f t="shared" si="5"/>
        <v>0</v>
      </c>
      <c r="J36" s="42" t="s">
        <v>149</v>
      </c>
    </row>
    <row r="37" spans="1:10" s="33" customFormat="1" ht="30.95" hidden="1" customHeight="1" outlineLevel="2">
      <c r="A37" s="47">
        <v>5</v>
      </c>
      <c r="B37" s="42" t="s">
        <v>150</v>
      </c>
      <c r="C37" s="47" t="s">
        <v>121</v>
      </c>
      <c r="D37" s="48">
        <v>4</v>
      </c>
      <c r="E37" s="44">
        <v>0</v>
      </c>
      <c r="F37" s="44">
        <v>0</v>
      </c>
      <c r="G37" s="44">
        <v>0</v>
      </c>
      <c r="H37" s="44">
        <f t="shared" si="4"/>
        <v>0</v>
      </c>
      <c r="I37" s="44">
        <f t="shared" si="5"/>
        <v>0</v>
      </c>
      <c r="J37" s="42" t="s">
        <v>151</v>
      </c>
    </row>
    <row r="38" spans="1:10" s="33" customFormat="1" ht="19.899999999999999" hidden="1" customHeight="1" outlineLevel="2">
      <c r="A38" s="47"/>
      <c r="B38" s="42" t="s">
        <v>115</v>
      </c>
      <c r="C38" s="47"/>
      <c r="D38" s="48"/>
      <c r="E38" s="44"/>
      <c r="F38" s="44"/>
      <c r="G38" s="44"/>
      <c r="H38" s="44"/>
      <c r="I38" s="44">
        <f>SUM(I21:I37)</f>
        <v>0</v>
      </c>
      <c r="J38" s="42"/>
    </row>
    <row r="39" spans="1:10" s="30" customFormat="1">
      <c r="A39" s="38" t="s">
        <v>30</v>
      </c>
      <c r="B39" s="39" t="s">
        <v>210</v>
      </c>
      <c r="C39" s="38"/>
      <c r="D39" s="40"/>
      <c r="E39" s="40"/>
      <c r="F39" s="40"/>
      <c r="G39" s="40"/>
      <c r="H39" s="40"/>
      <c r="I39" s="40"/>
      <c r="J39" s="39"/>
    </row>
    <row r="40" spans="1:10" s="31" customFormat="1" outlineLevel="1">
      <c r="A40" s="43"/>
      <c r="B40" s="42" t="s">
        <v>89</v>
      </c>
      <c r="C40" s="43"/>
      <c r="D40" s="44"/>
      <c r="E40" s="44"/>
      <c r="F40" s="44"/>
      <c r="G40" s="44"/>
      <c r="H40" s="44"/>
      <c r="I40" s="44"/>
      <c r="J40" s="42"/>
    </row>
    <row r="41" spans="1:10" s="31" customFormat="1" ht="56.25" outlineLevel="2">
      <c r="A41" s="43">
        <v>1</v>
      </c>
      <c r="B41" s="42" t="s">
        <v>211</v>
      </c>
      <c r="C41" s="43" t="s">
        <v>105</v>
      </c>
      <c r="D41" s="44">
        <v>6</v>
      </c>
      <c r="E41" s="44">
        <v>0</v>
      </c>
      <c r="F41" s="44">
        <v>0</v>
      </c>
      <c r="G41" s="44">
        <v>0</v>
      </c>
      <c r="H41" s="44">
        <f>E41+F41+G41</f>
        <v>0</v>
      </c>
      <c r="I41" s="44">
        <f>H41*D41</f>
        <v>0</v>
      </c>
      <c r="J41" s="42" t="s">
        <v>181</v>
      </c>
    </row>
    <row r="42" spans="1:10" s="33" customFormat="1" ht="19.899999999999999" customHeight="1" outlineLevel="2">
      <c r="A42" s="47"/>
      <c r="B42" s="42" t="s">
        <v>115</v>
      </c>
      <c r="C42" s="47"/>
      <c r="D42" s="48"/>
      <c r="E42" s="44"/>
      <c r="F42" s="44"/>
      <c r="G42" s="44"/>
      <c r="H42" s="44"/>
      <c r="I42" s="44">
        <f>SUM(I41:I41)</f>
        <v>0</v>
      </c>
      <c r="J42" s="42"/>
    </row>
    <row r="43" spans="1:10" s="30" customFormat="1">
      <c r="A43" s="38" t="s">
        <v>36</v>
      </c>
      <c r="B43" s="39" t="s">
        <v>212</v>
      </c>
      <c r="C43" s="38"/>
      <c r="D43" s="40"/>
      <c r="E43" s="40"/>
      <c r="F43" s="40"/>
      <c r="G43" s="40"/>
      <c r="H43" s="40"/>
      <c r="I43" s="40"/>
      <c r="J43" s="39"/>
    </row>
    <row r="44" spans="1:10" s="31" customFormat="1" outlineLevel="1">
      <c r="A44" s="43"/>
      <c r="B44" s="42" t="s">
        <v>78</v>
      </c>
      <c r="C44" s="43"/>
      <c r="D44" s="44"/>
      <c r="E44" s="44"/>
      <c r="F44" s="44"/>
      <c r="G44" s="44"/>
      <c r="H44" s="44"/>
      <c r="I44" s="44"/>
      <c r="J44" s="42"/>
    </row>
    <row r="45" spans="1:10" s="31" customFormat="1" ht="67.5" outlineLevel="2">
      <c r="A45" s="43">
        <v>1</v>
      </c>
      <c r="B45" s="42" t="s">
        <v>79</v>
      </c>
      <c r="C45" s="43" t="s">
        <v>80</v>
      </c>
      <c r="D45" s="44">
        <f>7.58*2</f>
        <v>15.16</v>
      </c>
      <c r="E45" s="44">
        <v>0</v>
      </c>
      <c r="F45" s="44">
        <v>0</v>
      </c>
      <c r="G45" s="44">
        <v>0</v>
      </c>
      <c r="H45" s="44">
        <f t="shared" ref="H45:H47" si="6">E45+F45+G45</f>
        <v>0</v>
      </c>
      <c r="I45" s="44">
        <f>H45*D45</f>
        <v>0</v>
      </c>
      <c r="J45" s="42" t="s">
        <v>81</v>
      </c>
    </row>
    <row r="46" spans="1:10" s="31" customFormat="1" ht="67.5" outlineLevel="2">
      <c r="A46" s="43">
        <v>2</v>
      </c>
      <c r="B46" s="42" t="s">
        <v>152</v>
      </c>
      <c r="C46" s="43" t="s">
        <v>80</v>
      </c>
      <c r="D46" s="44">
        <f>7.58*2</f>
        <v>15.16</v>
      </c>
      <c r="E46" s="44">
        <v>0</v>
      </c>
      <c r="F46" s="44">
        <v>0</v>
      </c>
      <c r="G46" s="44">
        <v>0</v>
      </c>
      <c r="H46" s="44">
        <f t="shared" si="6"/>
        <v>0</v>
      </c>
      <c r="I46" s="44">
        <f>H46*D46</f>
        <v>0</v>
      </c>
      <c r="J46" s="42" t="s">
        <v>153</v>
      </c>
    </row>
    <row r="47" spans="1:10" s="31" customFormat="1" ht="56.25" outlineLevel="2">
      <c r="A47" s="43">
        <v>3</v>
      </c>
      <c r="B47" s="42" t="s">
        <v>84</v>
      </c>
      <c r="C47" s="43" t="s">
        <v>85</v>
      </c>
      <c r="D47" s="44">
        <f>10.84*2</f>
        <v>21.68</v>
      </c>
      <c r="E47" s="44">
        <v>0</v>
      </c>
      <c r="F47" s="44">
        <v>0</v>
      </c>
      <c r="G47" s="44">
        <v>0</v>
      </c>
      <c r="H47" s="44">
        <f t="shared" si="6"/>
        <v>0</v>
      </c>
      <c r="I47" s="44">
        <f>H47*D47</f>
        <v>0</v>
      </c>
      <c r="J47" s="42" t="s">
        <v>129</v>
      </c>
    </row>
    <row r="48" spans="1:10" s="31" customFormat="1" outlineLevel="1">
      <c r="A48" s="43"/>
      <c r="B48" s="42" t="s">
        <v>89</v>
      </c>
      <c r="C48" s="43"/>
      <c r="D48" s="44"/>
      <c r="E48" s="44"/>
      <c r="F48" s="44"/>
      <c r="G48" s="44"/>
      <c r="H48" s="44"/>
      <c r="I48" s="44"/>
      <c r="J48" s="42"/>
    </row>
    <row r="49" spans="1:10" s="33" customFormat="1" ht="67.5" outlineLevel="2">
      <c r="A49" s="47">
        <v>1</v>
      </c>
      <c r="B49" s="42" t="s">
        <v>90</v>
      </c>
      <c r="C49" s="47" t="s">
        <v>91</v>
      </c>
      <c r="D49" s="48">
        <f>(10.84*2.2-1.3*2-1.6)*2</f>
        <v>39.299999999999997</v>
      </c>
      <c r="E49" s="44">
        <v>0</v>
      </c>
      <c r="F49" s="44">
        <v>0</v>
      </c>
      <c r="G49" s="44">
        <v>0</v>
      </c>
      <c r="H49" s="44">
        <f>E49+F49+G49</f>
        <v>0</v>
      </c>
      <c r="I49" s="44">
        <f>H49*D49</f>
        <v>0</v>
      </c>
      <c r="J49" s="42" t="s">
        <v>92</v>
      </c>
    </row>
    <row r="50" spans="1:10" s="31" customFormat="1" ht="146.25" outlineLevel="2">
      <c r="A50" s="47">
        <v>2</v>
      </c>
      <c r="B50" s="42" t="s">
        <v>213</v>
      </c>
      <c r="C50" s="47" t="s">
        <v>91</v>
      </c>
      <c r="D50" s="48">
        <f>(10.84*2.2-1.3*2-1.6)*2</f>
        <v>39.299999999999997</v>
      </c>
      <c r="E50" s="44">
        <v>0</v>
      </c>
      <c r="F50" s="44">
        <v>0</v>
      </c>
      <c r="G50" s="44">
        <v>0</v>
      </c>
      <c r="H50" s="44">
        <f>E50+F50+G50</f>
        <v>0</v>
      </c>
      <c r="I50" s="44">
        <f>H50*D50</f>
        <v>0</v>
      </c>
      <c r="J50" s="42" t="s">
        <v>155</v>
      </c>
    </row>
    <row r="51" spans="1:10" s="31" customFormat="1" ht="56.25" outlineLevel="2">
      <c r="A51" s="43">
        <v>3</v>
      </c>
      <c r="B51" s="42" t="s">
        <v>180</v>
      </c>
      <c r="C51" s="43" t="s">
        <v>105</v>
      </c>
      <c r="D51" s="44">
        <v>2</v>
      </c>
      <c r="E51" s="44">
        <v>0</v>
      </c>
      <c r="F51" s="44">
        <v>0</v>
      </c>
      <c r="G51" s="44">
        <v>0</v>
      </c>
      <c r="H51" s="44">
        <f>E51+F51+G51</f>
        <v>0</v>
      </c>
      <c r="I51" s="44">
        <f>H51*D51</f>
        <v>0</v>
      </c>
      <c r="J51" s="42" t="s">
        <v>181</v>
      </c>
    </row>
    <row r="52" spans="1:10" s="33" customFormat="1" ht="19.899999999999999" customHeight="1" outlineLevel="2">
      <c r="A52" s="47"/>
      <c r="B52" s="42" t="s">
        <v>115</v>
      </c>
      <c r="C52" s="47"/>
      <c r="D52" s="48"/>
      <c r="E52" s="44"/>
      <c r="F52" s="44"/>
      <c r="G52" s="44"/>
      <c r="H52" s="44"/>
      <c r="I52" s="44">
        <f>SUM(I45:I51)</f>
        <v>0</v>
      </c>
      <c r="J52" s="42"/>
    </row>
    <row r="53" spans="1:10" s="30" customFormat="1">
      <c r="A53" s="38" t="s">
        <v>40</v>
      </c>
      <c r="B53" s="39" t="s">
        <v>214</v>
      </c>
      <c r="C53" s="38"/>
      <c r="D53" s="40"/>
      <c r="E53" s="40"/>
      <c r="F53" s="40"/>
      <c r="G53" s="40"/>
      <c r="H53" s="40"/>
      <c r="I53" s="40"/>
      <c r="J53" s="39"/>
    </row>
    <row r="54" spans="1:10" s="31" customFormat="1" outlineLevel="1">
      <c r="A54" s="37"/>
      <c r="B54" s="42" t="s">
        <v>78</v>
      </c>
      <c r="C54" s="43"/>
      <c r="D54" s="44"/>
      <c r="E54" s="44"/>
      <c r="F54" s="44"/>
      <c r="G54" s="44"/>
      <c r="H54" s="44"/>
      <c r="I54" s="44"/>
      <c r="J54" s="42"/>
    </row>
    <row r="55" spans="1:10" s="31" customFormat="1" ht="63" customHeight="1" outlineLevel="2">
      <c r="A55" s="47">
        <v>1</v>
      </c>
      <c r="B55" s="42" t="s">
        <v>79</v>
      </c>
      <c r="C55" s="43" t="s">
        <v>80</v>
      </c>
      <c r="D55" s="44">
        <v>565.82000000000005</v>
      </c>
      <c r="E55" s="44">
        <v>0</v>
      </c>
      <c r="F55" s="44">
        <v>0</v>
      </c>
      <c r="G55" s="44">
        <v>0</v>
      </c>
      <c r="H55" s="44">
        <f t="shared" ref="H55:H62" si="7">E55+F55+G55</f>
        <v>0</v>
      </c>
      <c r="I55" s="44">
        <f t="shared" ref="I55:I62" si="8">H55*D55</f>
        <v>0</v>
      </c>
      <c r="J55" s="42" t="s">
        <v>81</v>
      </c>
    </row>
    <row r="56" spans="1:10" s="31" customFormat="1" ht="67.5" outlineLevel="2">
      <c r="A56" s="43">
        <v>2</v>
      </c>
      <c r="B56" s="42" t="s">
        <v>215</v>
      </c>
      <c r="C56" s="43" t="s">
        <v>85</v>
      </c>
      <c r="D56" s="44">
        <v>33.04</v>
      </c>
      <c r="E56" s="44">
        <v>0</v>
      </c>
      <c r="F56" s="44">
        <v>0</v>
      </c>
      <c r="G56" s="44">
        <v>0</v>
      </c>
      <c r="H56" s="44">
        <f t="shared" si="7"/>
        <v>0</v>
      </c>
      <c r="I56" s="44">
        <f t="shared" si="8"/>
        <v>0</v>
      </c>
      <c r="J56" s="42" t="s">
        <v>175</v>
      </c>
    </row>
    <row r="57" spans="1:10" s="31" customFormat="1" ht="67.5" outlineLevel="2">
      <c r="A57" s="47">
        <v>3</v>
      </c>
      <c r="B57" s="42" t="s">
        <v>216</v>
      </c>
      <c r="C57" s="43" t="s">
        <v>80</v>
      </c>
      <c r="D57" s="44">
        <v>43.9</v>
      </c>
      <c r="E57" s="44">
        <v>0</v>
      </c>
      <c r="F57" s="44">
        <v>0</v>
      </c>
      <c r="G57" s="44">
        <v>0</v>
      </c>
      <c r="H57" s="44">
        <f t="shared" si="7"/>
        <v>0</v>
      </c>
      <c r="I57" s="44">
        <f t="shared" si="8"/>
        <v>0</v>
      </c>
      <c r="J57" s="42" t="s">
        <v>175</v>
      </c>
    </row>
    <row r="58" spans="1:10" s="31" customFormat="1" ht="67.5" outlineLevel="2">
      <c r="A58" s="43">
        <v>4</v>
      </c>
      <c r="B58" s="42" t="s">
        <v>196</v>
      </c>
      <c r="C58" s="43" t="s">
        <v>80</v>
      </c>
      <c r="D58" s="44">
        <v>48.49</v>
      </c>
      <c r="E58" s="44">
        <v>0</v>
      </c>
      <c r="F58" s="44">
        <v>0</v>
      </c>
      <c r="G58" s="44">
        <v>0</v>
      </c>
      <c r="H58" s="44">
        <f t="shared" si="7"/>
        <v>0</v>
      </c>
      <c r="I58" s="44">
        <f t="shared" si="8"/>
        <v>0</v>
      </c>
      <c r="J58" s="42" t="s">
        <v>175</v>
      </c>
    </row>
    <row r="59" spans="1:10" s="31" customFormat="1" ht="67.5" outlineLevel="2">
      <c r="A59" s="47">
        <v>5</v>
      </c>
      <c r="B59" s="42" t="s">
        <v>82</v>
      </c>
      <c r="C59" s="43" t="s">
        <v>80</v>
      </c>
      <c r="D59" s="44">
        <f>565.82-43.09-48.49-34.08-9.74</f>
        <v>430.42</v>
      </c>
      <c r="E59" s="44">
        <v>0</v>
      </c>
      <c r="F59" s="44">
        <v>0</v>
      </c>
      <c r="G59" s="44">
        <v>0</v>
      </c>
      <c r="H59" s="44">
        <f t="shared" si="7"/>
        <v>0</v>
      </c>
      <c r="I59" s="44">
        <f t="shared" si="8"/>
        <v>0</v>
      </c>
      <c r="J59" s="42" t="s">
        <v>83</v>
      </c>
    </row>
    <row r="60" spans="1:10" s="31" customFormat="1" ht="56.25" outlineLevel="2">
      <c r="A60" s="43">
        <v>6</v>
      </c>
      <c r="B60" s="42" t="s">
        <v>84</v>
      </c>
      <c r="C60" s="43" t="s">
        <v>85</v>
      </c>
      <c r="D60" s="44">
        <v>101.26</v>
      </c>
      <c r="E60" s="44">
        <v>0</v>
      </c>
      <c r="F60" s="44">
        <v>0</v>
      </c>
      <c r="G60" s="44">
        <v>0</v>
      </c>
      <c r="H60" s="44">
        <f t="shared" si="7"/>
        <v>0</v>
      </c>
      <c r="I60" s="44">
        <f t="shared" si="8"/>
        <v>0</v>
      </c>
      <c r="J60" s="42" t="s">
        <v>86</v>
      </c>
    </row>
    <row r="61" spans="1:10" s="31" customFormat="1" ht="56.25" outlineLevel="2">
      <c r="A61" s="47">
        <v>7</v>
      </c>
      <c r="B61" s="42" t="s">
        <v>163</v>
      </c>
      <c r="C61" s="43" t="s">
        <v>85</v>
      </c>
      <c r="D61" s="44">
        <f>14*2.85+3</f>
        <v>42.9</v>
      </c>
      <c r="E61" s="44">
        <v>0</v>
      </c>
      <c r="F61" s="44">
        <v>0</v>
      </c>
      <c r="G61" s="44">
        <v>0</v>
      </c>
      <c r="H61" s="44">
        <f t="shared" si="7"/>
        <v>0</v>
      </c>
      <c r="I61" s="44">
        <f t="shared" si="8"/>
        <v>0</v>
      </c>
      <c r="J61" s="42" t="s">
        <v>164</v>
      </c>
    </row>
    <row r="62" spans="1:10" s="32" customFormat="1" ht="56.25" outlineLevel="2">
      <c r="A62" s="43">
        <v>8</v>
      </c>
      <c r="B62" s="42" t="s">
        <v>87</v>
      </c>
      <c r="C62" s="43" t="s">
        <v>85</v>
      </c>
      <c r="D62" s="44">
        <v>30</v>
      </c>
      <c r="E62" s="44">
        <v>0</v>
      </c>
      <c r="F62" s="44">
        <v>0</v>
      </c>
      <c r="G62" s="44">
        <v>0</v>
      </c>
      <c r="H62" s="44">
        <f t="shared" si="7"/>
        <v>0</v>
      </c>
      <c r="I62" s="44">
        <f t="shared" si="8"/>
        <v>0</v>
      </c>
      <c r="J62" s="42" t="s">
        <v>88</v>
      </c>
    </row>
    <row r="63" spans="1:10" s="31" customFormat="1" outlineLevel="1">
      <c r="A63" s="47"/>
      <c r="B63" s="42" t="s">
        <v>89</v>
      </c>
      <c r="C63" s="43"/>
      <c r="D63" s="44"/>
      <c r="E63" s="44"/>
      <c r="F63" s="44"/>
      <c r="G63" s="44"/>
      <c r="H63" s="44"/>
      <c r="I63" s="44"/>
      <c r="J63" s="42"/>
    </row>
    <row r="64" spans="1:10" s="33" customFormat="1" ht="67.5" outlineLevel="2">
      <c r="A64" s="47">
        <v>1</v>
      </c>
      <c r="B64" s="42" t="s">
        <v>90</v>
      </c>
      <c r="C64" s="47" t="s">
        <v>91</v>
      </c>
      <c r="D64" s="48">
        <f>(101.26-6-1.6-1.6)*2.2-14*5.4-6+16*0.8*2.2</f>
        <v>149.09</v>
      </c>
      <c r="E64" s="44">
        <v>0</v>
      </c>
      <c r="F64" s="44">
        <v>0</v>
      </c>
      <c r="G64" s="44">
        <v>0</v>
      </c>
      <c r="H64" s="44">
        <f t="shared" ref="H64:H69" si="9">E64+F64+G64</f>
        <v>0</v>
      </c>
      <c r="I64" s="44">
        <f t="shared" ref="I64:I69" si="10">H64*D64</f>
        <v>0</v>
      </c>
      <c r="J64" s="42" t="s">
        <v>92</v>
      </c>
    </row>
    <row r="65" spans="1:10" s="31" customFormat="1" ht="67.5" outlineLevel="2">
      <c r="A65" s="37">
        <v>2</v>
      </c>
      <c r="B65" s="42" t="s">
        <v>93</v>
      </c>
      <c r="C65" s="47" t="s">
        <v>91</v>
      </c>
      <c r="D65" s="48">
        <f>(101.26-6-1.6-1.6)*2.2-14*5.4-6+16*0.8*2.2</f>
        <v>149.09</v>
      </c>
      <c r="E65" s="44">
        <v>0</v>
      </c>
      <c r="F65" s="44">
        <v>0</v>
      </c>
      <c r="G65" s="44">
        <v>0</v>
      </c>
      <c r="H65" s="44">
        <f t="shared" si="9"/>
        <v>0</v>
      </c>
      <c r="I65" s="44">
        <f t="shared" si="10"/>
        <v>0</v>
      </c>
      <c r="J65" s="42" t="s">
        <v>197</v>
      </c>
    </row>
    <row r="66" spans="1:10" s="31" customFormat="1" ht="67.5" outlineLevel="2">
      <c r="A66" s="47">
        <v>3</v>
      </c>
      <c r="B66" s="42" t="s">
        <v>95</v>
      </c>
      <c r="C66" s="47" t="s">
        <v>96</v>
      </c>
      <c r="D66" s="48">
        <v>6</v>
      </c>
      <c r="E66" s="44">
        <v>0</v>
      </c>
      <c r="F66" s="44">
        <v>0</v>
      </c>
      <c r="G66" s="44">
        <v>0</v>
      </c>
      <c r="H66" s="44">
        <f t="shared" si="9"/>
        <v>0</v>
      </c>
      <c r="I66" s="44">
        <f t="shared" si="10"/>
        <v>0</v>
      </c>
      <c r="J66" s="42" t="s">
        <v>166</v>
      </c>
    </row>
    <row r="67" spans="1:10" s="31" customFormat="1" ht="78.75" outlineLevel="2">
      <c r="A67" s="47">
        <v>5</v>
      </c>
      <c r="B67" s="42" t="s">
        <v>217</v>
      </c>
      <c r="C67" s="43" t="s">
        <v>85</v>
      </c>
      <c r="D67" s="44">
        <f>16.03*2</f>
        <v>32.06</v>
      </c>
      <c r="E67" s="44">
        <v>0</v>
      </c>
      <c r="F67" s="44">
        <v>0</v>
      </c>
      <c r="G67" s="44">
        <v>0</v>
      </c>
      <c r="H67" s="44">
        <f t="shared" si="9"/>
        <v>0</v>
      </c>
      <c r="I67" s="44">
        <f t="shared" si="10"/>
        <v>0</v>
      </c>
      <c r="J67" s="42" t="s">
        <v>169</v>
      </c>
    </row>
    <row r="68" spans="1:10" s="31" customFormat="1" ht="33.75" outlineLevel="2">
      <c r="A68" s="37">
        <v>6</v>
      </c>
      <c r="B68" s="42" t="s">
        <v>218</v>
      </c>
      <c r="C68" s="47" t="s">
        <v>91</v>
      </c>
      <c r="D68" s="44">
        <f>16.03*2</f>
        <v>32.06</v>
      </c>
      <c r="E68" s="44">
        <v>0</v>
      </c>
      <c r="F68" s="44">
        <v>0</v>
      </c>
      <c r="G68" s="44">
        <v>0</v>
      </c>
      <c r="H68" s="44">
        <f t="shared" si="9"/>
        <v>0</v>
      </c>
      <c r="I68" s="44">
        <f t="shared" si="10"/>
        <v>0</v>
      </c>
      <c r="J68" s="42" t="s">
        <v>219</v>
      </c>
    </row>
    <row r="69" spans="1:10" s="31" customFormat="1" ht="56.25" outlineLevel="2">
      <c r="A69" s="37">
        <v>8</v>
      </c>
      <c r="B69" s="42" t="s">
        <v>104</v>
      </c>
      <c r="C69" s="43" t="s">
        <v>105</v>
      </c>
      <c r="D69" s="44">
        <v>9</v>
      </c>
      <c r="E69" s="44">
        <v>0</v>
      </c>
      <c r="F69" s="44">
        <v>0</v>
      </c>
      <c r="G69" s="44">
        <v>0</v>
      </c>
      <c r="H69" s="44">
        <f t="shared" si="9"/>
        <v>0</v>
      </c>
      <c r="I69" s="44">
        <f t="shared" si="10"/>
        <v>0</v>
      </c>
      <c r="J69" s="42" t="s">
        <v>106</v>
      </c>
    </row>
    <row r="70" spans="1:10" s="33" customFormat="1" ht="19.899999999999999" customHeight="1" outlineLevel="2">
      <c r="A70" s="49"/>
      <c r="B70" s="42" t="s">
        <v>115</v>
      </c>
      <c r="C70" s="47"/>
      <c r="D70" s="48"/>
      <c r="E70" s="44"/>
      <c r="F70" s="44"/>
      <c r="G70" s="44"/>
      <c r="H70" s="44"/>
      <c r="I70" s="44">
        <f>SUM(I55:I69)</f>
        <v>0</v>
      </c>
      <c r="J70" s="42"/>
    </row>
  </sheetData>
  <sheetProtection formatCells="0" formatColumns="0" formatRows="0" insertColumns="0" insertRows="0" insertHyperlinks="0" deleteColumns="0" deleteRows="0" sort="0" autoFilter="0" pivotTables="0"/>
  <autoFilter ref="A4:J70" xr:uid="{00000000-0009-0000-0000-000007000000}"/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3" type="noConversion"/>
  <printOptions horizontalCentered="1"/>
  <pageMargins left="0.39305555555555599" right="0.39305555555555599" top="0.39305555555555599" bottom="0.59027777777777801" header="0.39305555555555599" footer="0.39305555555555599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L15"/>
  <sheetViews>
    <sheetView topLeftCell="A11" workbookViewId="0">
      <selection activeCell="A5" sqref="A5:XFD15"/>
    </sheetView>
  </sheetViews>
  <sheetFormatPr defaultColWidth="9.125" defaultRowHeight="15.75" outlineLevelRow="1"/>
  <cols>
    <col min="2" max="2" width="19.75" customWidth="1"/>
    <col min="11" max="11" width="27.125" customWidth="1"/>
    <col min="12" max="12" width="11.625" customWidth="1"/>
  </cols>
  <sheetData>
    <row r="1" spans="1:220" s="1" customFormat="1" ht="22.5">
      <c r="A1" s="114" t="s">
        <v>66</v>
      </c>
      <c r="B1" s="114"/>
      <c r="C1" s="115"/>
      <c r="D1" s="116"/>
      <c r="E1" s="116"/>
      <c r="F1" s="116"/>
      <c r="G1" s="117"/>
      <c r="H1" s="116"/>
      <c r="I1" s="116"/>
      <c r="J1" s="116"/>
      <c r="K1" s="115"/>
      <c r="L1" s="115"/>
      <c r="M1" s="115"/>
    </row>
    <row r="2" spans="1:220" s="2" customFormat="1" ht="13.5">
      <c r="A2" s="118" t="s">
        <v>220</v>
      </c>
      <c r="B2" s="119"/>
      <c r="C2" s="120"/>
      <c r="D2" s="121"/>
      <c r="E2" s="121"/>
      <c r="F2" s="121"/>
      <c r="G2" s="122"/>
      <c r="H2" s="121"/>
      <c r="I2" s="121"/>
      <c r="J2" s="121"/>
      <c r="K2" s="123"/>
      <c r="L2" s="123"/>
      <c r="M2" s="1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27"/>
      <c r="HL2" s="27"/>
    </row>
    <row r="3" spans="1:220" s="3" customFormat="1" ht="12">
      <c r="A3" s="119" t="s">
        <v>6</v>
      </c>
      <c r="B3" s="119" t="s">
        <v>68</v>
      </c>
      <c r="C3" s="120" t="s">
        <v>69</v>
      </c>
      <c r="D3" s="121" t="s">
        <v>70</v>
      </c>
      <c r="E3" s="121" t="s">
        <v>71</v>
      </c>
      <c r="F3" s="121" t="s">
        <v>221</v>
      </c>
      <c r="G3" s="122"/>
      <c r="H3" s="121" t="s">
        <v>73</v>
      </c>
      <c r="I3" s="125" t="s">
        <v>74</v>
      </c>
      <c r="J3" s="121" t="s">
        <v>75</v>
      </c>
      <c r="K3" s="126" t="s">
        <v>76</v>
      </c>
      <c r="L3" s="127" t="s">
        <v>222</v>
      </c>
      <c r="M3" s="128" t="s">
        <v>11</v>
      </c>
    </row>
    <row r="4" spans="1:220" s="3" customFormat="1" ht="12">
      <c r="A4" s="119"/>
      <c r="B4" s="119"/>
      <c r="C4" s="119"/>
      <c r="D4" s="124"/>
      <c r="E4" s="124"/>
      <c r="F4" s="7" t="s">
        <v>72</v>
      </c>
      <c r="G4" s="8" t="s">
        <v>223</v>
      </c>
      <c r="H4" s="124"/>
      <c r="I4" s="125"/>
      <c r="J4" s="121"/>
      <c r="K4" s="126"/>
      <c r="L4" s="127"/>
      <c r="M4" s="128"/>
    </row>
    <row r="5" spans="1:220" s="4" customFormat="1" ht="37.9" customHeight="1">
      <c r="A5" s="9">
        <v>5</v>
      </c>
      <c r="B5" s="9" t="s">
        <v>224</v>
      </c>
      <c r="C5" s="10"/>
      <c r="D5" s="11"/>
      <c r="E5" s="12"/>
      <c r="F5" s="12"/>
      <c r="G5" s="12"/>
      <c r="H5" s="12"/>
      <c r="I5" s="12"/>
      <c r="J5" s="12"/>
      <c r="K5" s="21"/>
      <c r="L5" s="21"/>
      <c r="M5" s="12" t="s">
        <v>225</v>
      </c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20" s="5" customFormat="1" ht="14.25" outlineLevel="1">
      <c r="A6" s="13"/>
      <c r="B6" s="14" t="s">
        <v>226</v>
      </c>
      <c r="C6" s="15"/>
      <c r="D6" s="16"/>
      <c r="E6" s="16"/>
      <c r="F6" s="16"/>
      <c r="G6" s="17"/>
      <c r="H6" s="16"/>
      <c r="I6" s="18"/>
      <c r="J6" s="18"/>
      <c r="K6" s="23"/>
      <c r="L6" s="23"/>
      <c r="M6" s="24"/>
    </row>
    <row r="7" spans="1:220" s="5" customFormat="1" ht="14.25" outlineLevel="1">
      <c r="A7" s="13"/>
      <c r="B7" s="14" t="s">
        <v>227</v>
      </c>
      <c r="C7" s="15" t="s">
        <v>80</v>
      </c>
      <c r="D7" s="16">
        <v>18</v>
      </c>
      <c r="E7" s="16"/>
      <c r="F7" s="16"/>
      <c r="G7" s="17"/>
      <c r="H7" s="16"/>
      <c r="I7" s="18">
        <f t="shared" ref="I7:I12" si="0">E7+F7*(1+G7)+H7</f>
        <v>0</v>
      </c>
      <c r="J7" s="18">
        <f t="shared" ref="J7:J12" si="1">I7*D7</f>
        <v>0</v>
      </c>
      <c r="K7" s="23" t="s">
        <v>228</v>
      </c>
      <c r="L7" s="23"/>
      <c r="M7" s="24"/>
    </row>
    <row r="8" spans="1:220" s="5" customFormat="1" ht="14.25" outlineLevel="1">
      <c r="A8" s="13"/>
      <c r="B8" s="14" t="s">
        <v>229</v>
      </c>
      <c r="C8" s="15" t="s">
        <v>80</v>
      </c>
      <c r="D8" s="16">
        <v>18</v>
      </c>
      <c r="E8" s="18"/>
      <c r="F8" s="18"/>
      <c r="G8" s="19"/>
      <c r="H8" s="18"/>
      <c r="I8" s="18">
        <f t="shared" si="0"/>
        <v>0</v>
      </c>
      <c r="J8" s="18">
        <f t="shared" si="1"/>
        <v>0</v>
      </c>
      <c r="K8" s="23" t="s">
        <v>228</v>
      </c>
      <c r="L8" s="23"/>
      <c r="M8" s="24"/>
    </row>
    <row r="9" spans="1:220" s="5" customFormat="1" ht="14.25" outlineLevel="1">
      <c r="A9" s="13"/>
      <c r="B9" s="14" t="s">
        <v>78</v>
      </c>
      <c r="C9" s="15"/>
      <c r="D9" s="16"/>
      <c r="E9" s="16"/>
      <c r="F9" s="16"/>
      <c r="G9" s="17"/>
      <c r="H9" s="16"/>
      <c r="I9" s="18"/>
      <c r="J9" s="18"/>
      <c r="K9" s="23"/>
      <c r="L9" s="23"/>
      <c r="M9" s="24"/>
    </row>
    <row r="10" spans="1:220" s="6" customFormat="1" ht="121.9" customHeight="1" outlineLevel="1">
      <c r="A10" s="13"/>
      <c r="B10" s="14" t="s">
        <v>79</v>
      </c>
      <c r="C10" s="20" t="s">
        <v>80</v>
      </c>
      <c r="D10" s="16">
        <v>18</v>
      </c>
      <c r="E10" s="18"/>
      <c r="F10" s="18"/>
      <c r="G10" s="19"/>
      <c r="H10" s="18"/>
      <c r="I10" s="18">
        <f t="shared" si="0"/>
        <v>0</v>
      </c>
      <c r="J10" s="18">
        <f t="shared" si="1"/>
        <v>0</v>
      </c>
      <c r="K10" s="23" t="s">
        <v>81</v>
      </c>
      <c r="L10" s="23" t="s">
        <v>230</v>
      </c>
      <c r="M10" s="25"/>
    </row>
    <row r="11" spans="1:220" s="6" customFormat="1" ht="136.9" customHeight="1" outlineLevel="1">
      <c r="A11" s="13"/>
      <c r="B11" s="14" t="s">
        <v>152</v>
      </c>
      <c r="C11" s="20" t="s">
        <v>80</v>
      </c>
      <c r="D11" s="16">
        <f>D10</f>
        <v>18</v>
      </c>
      <c r="E11" s="16"/>
      <c r="F11" s="16"/>
      <c r="G11" s="17"/>
      <c r="H11" s="16"/>
      <c r="I11" s="18">
        <f t="shared" si="0"/>
        <v>0</v>
      </c>
      <c r="J11" s="18">
        <f t="shared" si="1"/>
        <v>0</v>
      </c>
      <c r="K11" s="23" t="s">
        <v>231</v>
      </c>
      <c r="L11" s="23" t="s">
        <v>230</v>
      </c>
      <c r="M11" s="25"/>
    </row>
    <row r="12" spans="1:220" s="6" customFormat="1" ht="85.5" outlineLevel="1">
      <c r="A12" s="13"/>
      <c r="B12" s="14" t="s">
        <v>232</v>
      </c>
      <c r="C12" s="20" t="s">
        <v>85</v>
      </c>
      <c r="D12" s="16">
        <f>17+3.65*2</f>
        <v>24.3</v>
      </c>
      <c r="E12" s="18"/>
      <c r="F12" s="18"/>
      <c r="G12" s="19"/>
      <c r="H12" s="18"/>
      <c r="I12" s="18">
        <f t="shared" si="0"/>
        <v>0</v>
      </c>
      <c r="J12" s="18">
        <f t="shared" si="1"/>
        <v>0</v>
      </c>
      <c r="K12" s="23" t="s">
        <v>233</v>
      </c>
      <c r="L12" s="23" t="s">
        <v>230</v>
      </c>
      <c r="M12" s="25"/>
    </row>
    <row r="13" spans="1:220" s="5" customFormat="1" ht="14.25" outlineLevel="1">
      <c r="A13" s="13"/>
      <c r="B13" s="14" t="s">
        <v>109</v>
      </c>
      <c r="C13" s="15"/>
      <c r="D13" s="16"/>
      <c r="E13" s="16"/>
      <c r="F13" s="16"/>
      <c r="G13" s="17"/>
      <c r="H13" s="16"/>
      <c r="I13" s="18"/>
      <c r="J13" s="18"/>
      <c r="K13" s="23"/>
      <c r="L13" s="23"/>
      <c r="M13" s="24"/>
    </row>
    <row r="14" spans="1:220" s="6" customFormat="1" ht="60" customHeight="1" outlineLevel="1">
      <c r="A14" s="13"/>
      <c r="B14" s="13" t="s">
        <v>234</v>
      </c>
      <c r="C14" s="20" t="s">
        <v>80</v>
      </c>
      <c r="D14" s="16">
        <v>18</v>
      </c>
      <c r="E14" s="16"/>
      <c r="F14" s="16"/>
      <c r="G14" s="17"/>
      <c r="H14" s="16"/>
      <c r="I14" s="18">
        <f>E14+F14*(1+G14)+H14</f>
        <v>0</v>
      </c>
      <c r="J14" s="18">
        <f>I14*D14</f>
        <v>0</v>
      </c>
      <c r="K14" s="23" t="s">
        <v>235</v>
      </c>
      <c r="L14" s="23" t="s">
        <v>230</v>
      </c>
      <c r="M14" s="26" t="s">
        <v>236</v>
      </c>
    </row>
    <row r="15" spans="1:220" s="5" customFormat="1" ht="85.5" outlineLevel="1">
      <c r="A15" s="13"/>
      <c r="B15" s="14" t="s">
        <v>237</v>
      </c>
      <c r="C15" s="15" t="s">
        <v>80</v>
      </c>
      <c r="D15" s="16">
        <v>18</v>
      </c>
      <c r="E15" s="16"/>
      <c r="F15" s="16"/>
      <c r="G15" s="17"/>
      <c r="H15" s="16"/>
      <c r="I15" s="18">
        <f>E15+F15*(1+G15)+H15</f>
        <v>0</v>
      </c>
      <c r="J15" s="18">
        <f>I15*D15</f>
        <v>0</v>
      </c>
      <c r="K15" s="23" t="s">
        <v>238</v>
      </c>
      <c r="L15" s="23" t="s">
        <v>230</v>
      </c>
      <c r="M15" s="24"/>
    </row>
  </sheetData>
  <sheetProtection formatCells="0" formatColumns="0" formatRows="0" insertColumns="0" insertRows="0" insertHyperlinks="0" deleteColumns="0" deleteRows="0" sort="0" autoFilter="0" pivotTables="0"/>
  <mergeCells count="14">
    <mergeCell ref="A1:M1"/>
    <mergeCell ref="A2:M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honeticPr fontId="23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</woSheetsProps>
  <woBookProps>
    <bookSettings fileId="" isFilterShared="0" coreConquerUserId="" isAutoUpdatePaused="0" filterType="user" isMergeTasksAutoUpdate="0" isInserPicAsAttachment="0"/>
  </woBookProps>
</woProps>
</file>

<file path=customXml/item2.xml><?xml version="1.0" encoding="utf-8"?>
<autofilters xmlns="https://web.wps.cn/et/2018/main">
  <sheetItem sheetStid="3">
    <filterData filterID="1628181135">
      <hiddenRange rowFrom="5" rowTo="35"/>
      <hiddenRange rowFrom="37" rowTo="67"/>
      <hiddenRange rowFrom="69" rowTo="91"/>
      <hiddenRange rowFrom="93" rowTo="122"/>
      <hiddenRange rowFrom="124" rowTo="153"/>
      <hiddenRange rowFrom="155" rowTo="182"/>
      <hiddenRange rowFrom="184" rowTo="225"/>
      <hiddenRange rowFrom="227" rowTo="249"/>
      <hiddenRange rowFrom="251" rowTo="271"/>
      <hiddenRange rowFrom="273" rowTo="300"/>
      <hiddenRange rowFrom="302" rowTo="324"/>
      <hiddenRange rowFrom="326" rowTo="354"/>
      <hiddenRange rowFrom="356" rowTo="378"/>
    </filterData>
    <filterData filterID="1630834440">
      <hiddenRange rowFrom="5" rowTo="35"/>
      <hiddenRange rowFrom="37" rowTo="67"/>
      <hiddenRange rowFrom="69" rowTo="91"/>
      <hiddenRange rowFrom="93" rowTo="122"/>
      <hiddenRange rowFrom="124" rowTo="153"/>
      <hiddenRange rowFrom="155" rowTo="182"/>
      <hiddenRange rowFrom="184" rowTo="225"/>
      <hiddenRange rowFrom="227" rowTo="249"/>
      <hiddenRange rowFrom="251" rowTo="271"/>
      <hiddenRange rowFrom="273" rowTo="300"/>
      <hiddenRange rowFrom="302" rowTo="324"/>
      <hiddenRange rowFrom="326" rowTo="354"/>
      <hiddenRange rowFrom="356" rowTo="378"/>
    </filterData>
  </sheetItem>
  <sheetItem sheetStid="4">
    <filterData filterID="1628181135">
      <hiddenRange rowFrom="5" rowTo="41"/>
      <hiddenRange rowFrom="43" rowTo="83"/>
      <hiddenRange rowFrom="85" rowTo="107"/>
      <hiddenRange rowFrom="109" rowTo="136"/>
      <hiddenRange rowFrom="138" rowTo="164"/>
      <hiddenRange rowFrom="166" rowTo="190"/>
      <hiddenRange rowFrom="192" rowTo="196"/>
      <hiddenRange rowFrom="198" rowTo="219"/>
      <hiddenRange rowFrom="221" rowTo="248"/>
      <hiddenRange rowFrom="250" rowTo="254"/>
      <hiddenRange rowFrom="256" rowTo="294"/>
      <hiddenRange rowFrom="296" rowTo="318"/>
      <hiddenRange rowFrom="320" rowTo="341"/>
      <hiddenRange rowFrom="343" rowTo="366"/>
      <hiddenRange rowFrom="368" rowTo="385"/>
      <hiddenRange rowFrom="387" rowTo="391"/>
      <hiddenRange rowFrom="393" rowTo="432"/>
      <hiddenRange rowFrom="434" rowTo="454"/>
      <hiddenRange rowFrom="456" rowTo="480"/>
      <hiddenRange rowFrom="482" rowTo="511"/>
      <hiddenRange rowFrom="513" rowTo="513"/>
      <hiddenRange rowFrom="515" rowTo="522"/>
      <hiddenRange rowFrom="524" rowTo="547"/>
    </filterData>
    <filterData filterID="1630834440">
      <hiddenRange rowFrom="5" rowTo="41"/>
      <hiddenRange rowFrom="43" rowTo="83"/>
      <hiddenRange rowFrom="85" rowTo="107"/>
      <hiddenRange rowFrom="109" rowTo="136"/>
      <hiddenRange rowFrom="138" rowTo="164"/>
      <hiddenRange rowFrom="166" rowTo="190"/>
      <hiddenRange rowFrom="192" rowTo="196"/>
      <hiddenRange rowFrom="198" rowTo="219"/>
      <hiddenRange rowFrom="221" rowTo="248"/>
      <hiddenRange rowFrom="250" rowTo="254"/>
      <hiddenRange rowFrom="256" rowTo="294"/>
      <hiddenRange rowFrom="296" rowTo="318"/>
      <hiddenRange rowFrom="320" rowTo="341"/>
      <hiddenRange rowFrom="343" rowTo="366"/>
      <hiddenRange rowFrom="368" rowTo="385"/>
      <hiddenRange rowFrom="387" rowTo="391"/>
      <hiddenRange rowFrom="393" rowTo="432"/>
      <hiddenRange rowFrom="434" rowTo="454"/>
      <hiddenRange rowFrom="456" rowTo="480"/>
      <hiddenRange rowFrom="482" rowTo="511"/>
      <hiddenRange rowFrom="513" rowTo="513"/>
      <hiddenRange rowFrom="515" rowTo="522"/>
      <hiddenRange rowFrom="524" rowTo="547"/>
    </filterData>
  </sheetItem>
</autofilters>
</file>

<file path=customXml/item3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9" master="" otherUserPermission="visible"/>
  <rangeList sheetStid="2" master="" otherUserPermission="visible">
    <arrUserId title="建设单位_2" rangeCreator="" othersAccessPermission="edit"/>
  </rangeList>
  <rangeList sheetStid="3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7" master="" otherUserPermission="visible"/>
  <rangeList sheetStid="8" master="" otherUserPermission="visible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6"/>
  <pixelatorList sheetStid="7"/>
  <pixelatorList sheetStid="8"/>
  <pixelatorList sheetStid="9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XXXXX</vt:lpstr>
      <vt:lpstr>封面</vt:lpstr>
      <vt:lpstr>汇总</vt:lpstr>
      <vt:lpstr>上甲板工程量</vt:lpstr>
      <vt:lpstr>游步甲板工程量</vt:lpstr>
      <vt:lpstr>观景甲板工程量</vt:lpstr>
      <vt:lpstr>驾驶甲板工程量</vt:lpstr>
      <vt:lpstr>阳光甲板工程量</vt:lpstr>
      <vt:lpstr>维修</vt:lpstr>
      <vt:lpstr>Sheet1</vt:lpstr>
      <vt:lpstr>汇总!Print_Area</vt:lpstr>
      <vt:lpstr>观景甲板工程量!Print_Titles</vt:lpstr>
      <vt:lpstr>汇总!Print_Titles</vt:lpstr>
      <vt:lpstr>驾驶甲板工程量!Print_Titles</vt:lpstr>
      <vt:lpstr>上甲板工程量!Print_Titles</vt:lpstr>
      <vt:lpstr>阳光甲板工程量!Print_Titles</vt:lpstr>
      <vt:lpstr>游步甲板工程量!Print_Titles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2006-09-18T16:00:00Z</dcterms:created>
  <dcterms:modified xsi:type="dcterms:W3CDTF">2025-11-20T07:26:44Z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E73D3E9EA4894F808DDD6B15DD62FD1E_13</vt:lpwstr>
  </property>
  <property fmtid="{D5CDD505-2E9C-101B-9397-08002B2CF9AE}" pid="4" name="KSOReadingLayout">
    <vt:bool>true</vt:bool>
  </property>
</Properties>
</file>