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E:\2. 经营部\2.项目进展\150米三峡游轮装饰\14. 招标采购\5 ZJ2025-150ZS05  装饰工程劳务（标段Ⅰ）\招标文件\"/>
    </mc:Choice>
  </mc:AlternateContent>
  <xr:revisionPtr revIDLastSave="0" documentId="13_ncr:1_{1B391BF2-582B-4068-9EEE-B82493108613}" xr6:coauthVersionLast="47" xr6:coauthVersionMax="47" xr10:uidLastSave="{00000000-0000-0000-0000-000000000000}"/>
  <bookViews>
    <workbookView xWindow="-120" yWindow="-120" windowWidth="29040" windowHeight="15840" tabRatio="847" firstSheet="1" activeTab="1" xr2:uid="{00000000-000D-0000-FFFF-FFFF00000000}"/>
  </bookViews>
  <sheets>
    <sheet name="XXXXX" sheetId="1" state="hidden" r:id="rId1"/>
    <sheet name="封面" sheetId="9" r:id="rId2"/>
    <sheet name="汇总" sheetId="2" r:id="rId3"/>
    <sheet name="主甲板工程量" sheetId="3" r:id="rId4"/>
    <sheet name="舱内工程量" sheetId="10" r:id="rId5"/>
    <sheet name="维修" sheetId="7" state="hidden" r:id="rId6"/>
    <sheet name="Sheet1" sheetId="8" state="hidden" r:id="rId7"/>
  </sheets>
  <definedNames>
    <definedName name="_xlnm._FilterDatabase" localSheetId="4" hidden="1">舱内工程量!$A$4:$J$186</definedName>
    <definedName name="_xlnm._FilterDatabase" localSheetId="3" hidden="1">主甲板工程量!$A$4:$J$278</definedName>
    <definedName name="_xlnm.Print_Area" localSheetId="2">汇总!$A$1:$F$52</definedName>
    <definedName name="_xlnm.Print_Titles" localSheetId="4">舱内工程量!$1:$4</definedName>
    <definedName name="_xlnm.Print_Titles" localSheetId="2">汇总!$1:$2</definedName>
    <definedName name="_xlnm.Print_Titles" localSheetId="3">主甲板工程量!$1:$4</definedName>
    <definedName name="乙供">#REF!</definedName>
  </definedNames>
  <calcPr calcId="181029" fullPrecision="0"/>
</workbook>
</file>

<file path=xl/calcChain.xml><?xml version="1.0" encoding="utf-8"?>
<calcChain xmlns="http://schemas.openxmlformats.org/spreadsheetml/2006/main">
  <c r="J15" i="7" l="1"/>
  <c r="I15" i="7"/>
  <c r="J14" i="7"/>
  <c r="I14" i="7"/>
  <c r="J12" i="7"/>
  <c r="I12" i="7"/>
  <c r="D12" i="7"/>
  <c r="J11" i="7"/>
  <c r="I11" i="7"/>
  <c r="D11" i="7"/>
  <c r="J10" i="7"/>
  <c r="I10" i="7"/>
  <c r="J8" i="7"/>
  <c r="I8" i="7"/>
  <c r="J7" i="7"/>
  <c r="I7" i="7"/>
  <c r="I186" i="10"/>
  <c r="I185" i="10"/>
  <c r="H185" i="10"/>
  <c r="I184" i="10"/>
  <c r="H184" i="10"/>
  <c r="D184" i="10"/>
  <c r="I183" i="10"/>
  <c r="H183" i="10"/>
  <c r="I181" i="10"/>
  <c r="H181" i="10"/>
  <c r="I180" i="10"/>
  <c r="H180" i="10"/>
  <c r="I179" i="10"/>
  <c r="H179" i="10"/>
  <c r="I178" i="10"/>
  <c r="H178" i="10"/>
  <c r="I175" i="10"/>
  <c r="I174" i="10"/>
  <c r="H174" i="10"/>
  <c r="I173" i="10"/>
  <c r="H173" i="10"/>
  <c r="D173" i="10"/>
  <c r="I172" i="10"/>
  <c r="H172" i="10"/>
  <c r="D172" i="10"/>
  <c r="I170" i="10"/>
  <c r="H170" i="10"/>
  <c r="I169" i="10"/>
  <c r="H169" i="10"/>
  <c r="I168" i="10"/>
  <c r="H168" i="10"/>
  <c r="I167" i="10"/>
  <c r="H167" i="10"/>
  <c r="I164" i="10"/>
  <c r="I163" i="10"/>
  <c r="H163" i="10"/>
  <c r="I162" i="10"/>
  <c r="H162" i="10"/>
  <c r="D162" i="10"/>
  <c r="I161" i="10"/>
  <c r="H161" i="10"/>
  <c r="D161" i="10"/>
  <c r="I159" i="10"/>
  <c r="H159" i="10"/>
  <c r="I158" i="10"/>
  <c r="H158" i="10"/>
  <c r="I157" i="10"/>
  <c r="H157" i="10"/>
  <c r="I156" i="10"/>
  <c r="H156" i="10"/>
  <c r="I153" i="10"/>
  <c r="I152" i="10"/>
  <c r="H152" i="10"/>
  <c r="I151" i="10"/>
  <c r="H151" i="10"/>
  <c r="D151" i="10"/>
  <c r="I150" i="10"/>
  <c r="H150" i="10"/>
  <c r="D150" i="10"/>
  <c r="I148" i="10"/>
  <c r="H148" i="10"/>
  <c r="I147" i="10"/>
  <c r="H147" i="10"/>
  <c r="I146" i="10"/>
  <c r="H146" i="10"/>
  <c r="I145" i="10"/>
  <c r="H145" i="10"/>
  <c r="I142" i="10"/>
  <c r="I141" i="10"/>
  <c r="H141" i="10"/>
  <c r="I139" i="10"/>
  <c r="H139" i="10"/>
  <c r="I138" i="10"/>
  <c r="H138" i="10"/>
  <c r="I137" i="10"/>
  <c r="H137" i="10"/>
  <c r="I135" i="10"/>
  <c r="H135" i="10"/>
  <c r="I134" i="10"/>
  <c r="H134" i="10"/>
  <c r="I133" i="10"/>
  <c r="H133" i="10"/>
  <c r="D133" i="10"/>
  <c r="I132" i="10"/>
  <c r="H132" i="10"/>
  <c r="D132" i="10"/>
  <c r="I130" i="10"/>
  <c r="H130" i="10"/>
  <c r="I129" i="10"/>
  <c r="H129" i="10"/>
  <c r="I128" i="10"/>
  <c r="H128" i="10"/>
  <c r="I127" i="10"/>
  <c r="H127" i="10"/>
  <c r="I124" i="10"/>
  <c r="I123" i="10"/>
  <c r="H123" i="10"/>
  <c r="I122" i="10"/>
  <c r="H122" i="10"/>
  <c r="I121" i="10"/>
  <c r="H121" i="10"/>
  <c r="I120" i="10"/>
  <c r="H120" i="10"/>
  <c r="I118" i="10"/>
  <c r="H118" i="10"/>
  <c r="I117" i="10"/>
  <c r="H117" i="10"/>
  <c r="I116" i="10"/>
  <c r="H116" i="10"/>
  <c r="I114" i="10"/>
  <c r="H114" i="10"/>
  <c r="I113" i="10"/>
  <c r="H113" i="10"/>
  <c r="D113" i="10"/>
  <c r="I112" i="10"/>
  <c r="H112" i="10"/>
  <c r="D112" i="10"/>
  <c r="I110" i="10"/>
  <c r="H110" i="10"/>
  <c r="I109" i="10"/>
  <c r="H109" i="10"/>
  <c r="I108" i="10"/>
  <c r="H108" i="10"/>
  <c r="I107" i="10"/>
  <c r="H107" i="10"/>
  <c r="I104" i="10"/>
  <c r="I103" i="10"/>
  <c r="H103" i="10"/>
  <c r="I102" i="10"/>
  <c r="H102" i="10"/>
  <c r="D102" i="10"/>
  <c r="I101" i="10"/>
  <c r="H101" i="10"/>
  <c r="D101" i="10"/>
  <c r="I100" i="10"/>
  <c r="H100" i="10"/>
  <c r="D100" i="10"/>
  <c r="I98" i="10"/>
  <c r="H98" i="10"/>
  <c r="I97" i="10"/>
  <c r="H97" i="10"/>
  <c r="D97" i="10"/>
  <c r="I96" i="10"/>
  <c r="H96" i="10"/>
  <c r="D96" i="10"/>
  <c r="I93" i="10"/>
  <c r="I92" i="10"/>
  <c r="H92" i="10"/>
  <c r="D92" i="10"/>
  <c r="I91" i="10"/>
  <c r="H91" i="10"/>
  <c r="D91" i="10"/>
  <c r="I90" i="10"/>
  <c r="H90" i="10"/>
  <c r="D90" i="10"/>
  <c r="I88" i="10"/>
  <c r="H88" i="10"/>
  <c r="I87" i="10"/>
  <c r="H87" i="10"/>
  <c r="D87" i="10"/>
  <c r="I86" i="10"/>
  <c r="H86" i="10"/>
  <c r="D86" i="10"/>
  <c r="I85" i="10"/>
  <c r="H85" i="10"/>
  <c r="D85" i="10"/>
  <c r="I84" i="10"/>
  <c r="H84" i="10"/>
  <c r="D84" i="10"/>
  <c r="I81" i="10"/>
  <c r="I80" i="10"/>
  <c r="H80" i="10"/>
  <c r="D80" i="10"/>
  <c r="I79" i="10"/>
  <c r="H79" i="10"/>
  <c r="D79" i="10"/>
  <c r="I78" i="10"/>
  <c r="H78" i="10"/>
  <c r="D78" i="10"/>
  <c r="I76" i="10"/>
  <c r="H76" i="10"/>
  <c r="I75" i="10"/>
  <c r="H75" i="10"/>
  <c r="D75" i="10"/>
  <c r="I74" i="10"/>
  <c r="H74" i="10"/>
  <c r="D74" i="10"/>
  <c r="I73" i="10"/>
  <c r="H73" i="10"/>
  <c r="D73" i="10"/>
  <c r="I72" i="10"/>
  <c r="H72" i="10"/>
  <c r="D72" i="10"/>
  <c r="I69" i="10"/>
  <c r="I68" i="10"/>
  <c r="H68" i="10"/>
  <c r="I66" i="10"/>
  <c r="H66" i="10"/>
  <c r="I65" i="10"/>
  <c r="H65" i="10"/>
  <c r="D65" i="10"/>
  <c r="I64" i="10"/>
  <c r="H64" i="10"/>
  <c r="D64" i="10"/>
  <c r="I63" i="10"/>
  <c r="H63" i="10"/>
  <c r="D63" i="10"/>
  <c r="I61" i="10"/>
  <c r="H61" i="10"/>
  <c r="I60" i="10"/>
  <c r="H60" i="10"/>
  <c r="D60" i="10"/>
  <c r="I59" i="10"/>
  <c r="H59" i="10"/>
  <c r="D59" i="10"/>
  <c r="I58" i="10"/>
  <c r="H58" i="10"/>
  <c r="D58" i="10"/>
  <c r="I57" i="10"/>
  <c r="H57" i="10"/>
  <c r="D57" i="10"/>
  <c r="I54" i="10"/>
  <c r="I53" i="10"/>
  <c r="H53" i="10"/>
  <c r="D53" i="10"/>
  <c r="I52" i="10"/>
  <c r="H52" i="10"/>
  <c r="D52" i="10"/>
  <c r="I50" i="10"/>
  <c r="H50" i="10"/>
  <c r="I49" i="10"/>
  <c r="H49" i="10"/>
  <c r="D49" i="10"/>
  <c r="I48" i="10"/>
  <c r="H48" i="10"/>
  <c r="D48" i="10"/>
  <c r="I46" i="10"/>
  <c r="H46" i="10"/>
  <c r="D46" i="10"/>
  <c r="I45" i="10"/>
  <c r="H45" i="10"/>
  <c r="D45" i="10"/>
  <c r="I44" i="10"/>
  <c r="H44" i="10"/>
  <c r="D44" i="10"/>
  <c r="I41" i="10"/>
  <c r="I40" i="10"/>
  <c r="H40" i="10"/>
  <c r="D40" i="10"/>
  <c r="I39" i="10"/>
  <c r="H39" i="10"/>
  <c r="D39" i="10"/>
  <c r="I37" i="10"/>
  <c r="H37" i="10"/>
  <c r="I36" i="10"/>
  <c r="H36" i="10"/>
  <c r="I35" i="10"/>
  <c r="H35" i="10"/>
  <c r="I34" i="10"/>
  <c r="H34" i="10"/>
  <c r="I31" i="10"/>
  <c r="I30" i="10"/>
  <c r="H30" i="10"/>
  <c r="I29" i="10"/>
  <c r="H29" i="10"/>
  <c r="D29" i="10"/>
  <c r="I28" i="10"/>
  <c r="H28" i="10"/>
  <c r="D28" i="10"/>
  <c r="I26" i="10"/>
  <c r="H26" i="10"/>
  <c r="I25" i="10"/>
  <c r="H25" i="10"/>
  <c r="I24" i="10"/>
  <c r="H24" i="10"/>
  <c r="D24" i="10"/>
  <c r="I23" i="10"/>
  <c r="H23" i="10"/>
  <c r="D23" i="10"/>
  <c r="I20" i="10"/>
  <c r="I19" i="10"/>
  <c r="H19" i="10"/>
  <c r="I17" i="10"/>
  <c r="H17" i="10"/>
  <c r="I16" i="10"/>
  <c r="H16" i="10"/>
  <c r="D16" i="10"/>
  <c r="I15" i="10"/>
  <c r="H15" i="10"/>
  <c r="I14" i="10"/>
  <c r="H14" i="10"/>
  <c r="D14" i="10"/>
  <c r="I13" i="10"/>
  <c r="H13" i="10"/>
  <c r="D13" i="10"/>
  <c r="I11" i="10"/>
  <c r="H11" i="10"/>
  <c r="I10" i="10"/>
  <c r="H10" i="10"/>
  <c r="I9" i="10"/>
  <c r="H9" i="10"/>
  <c r="I8" i="10"/>
  <c r="H8" i="10"/>
  <c r="I7" i="10"/>
  <c r="H7" i="10"/>
  <c r="I278" i="3"/>
  <c r="I277" i="3"/>
  <c r="H277" i="3"/>
  <c r="I275" i="3"/>
  <c r="H275" i="3"/>
  <c r="I274" i="3"/>
  <c r="H274" i="3"/>
  <c r="D274" i="3"/>
  <c r="I273" i="3"/>
  <c r="H273" i="3"/>
  <c r="D273" i="3"/>
  <c r="I271" i="3"/>
  <c r="H271" i="3"/>
  <c r="I270" i="3"/>
  <c r="H270" i="3"/>
  <c r="I269" i="3"/>
  <c r="H269" i="3"/>
  <c r="I266" i="3"/>
  <c r="I265" i="3"/>
  <c r="H265" i="3"/>
  <c r="D265" i="3"/>
  <c r="I263" i="3"/>
  <c r="H263" i="3"/>
  <c r="I262" i="3"/>
  <c r="H262" i="3"/>
  <c r="I261" i="3"/>
  <c r="H261" i="3"/>
  <c r="I259" i="3"/>
  <c r="H259" i="3"/>
  <c r="I258" i="3"/>
  <c r="H258" i="3"/>
  <c r="D258" i="3"/>
  <c r="I257" i="3"/>
  <c r="H257" i="3"/>
  <c r="D257" i="3"/>
  <c r="I254" i="3"/>
  <c r="I253" i="3"/>
  <c r="H253" i="3"/>
  <c r="I252" i="3"/>
  <c r="H252" i="3"/>
  <c r="D252" i="3"/>
  <c r="I251" i="3"/>
  <c r="H251" i="3"/>
  <c r="D251" i="3"/>
  <c r="I249" i="3"/>
  <c r="H249" i="3"/>
  <c r="I248" i="3"/>
  <c r="H248" i="3"/>
  <c r="I247" i="3"/>
  <c r="H247" i="3"/>
  <c r="I246" i="3"/>
  <c r="H246" i="3"/>
  <c r="I243" i="3"/>
  <c r="I242" i="3"/>
  <c r="H242" i="3"/>
  <c r="D242" i="3"/>
  <c r="I241" i="3"/>
  <c r="H241" i="3"/>
  <c r="I239" i="3"/>
  <c r="H239" i="3"/>
  <c r="I238" i="3"/>
  <c r="H238" i="3"/>
  <c r="I237" i="3"/>
  <c r="H237" i="3"/>
  <c r="I236" i="3"/>
  <c r="H236" i="3"/>
  <c r="D236" i="3"/>
  <c r="I235" i="3"/>
  <c r="H235" i="3"/>
  <c r="I234" i="3"/>
  <c r="H234" i="3"/>
  <c r="D234" i="3"/>
  <c r="I233" i="3"/>
  <c r="H233" i="3"/>
  <c r="D233" i="3"/>
  <c r="I231" i="3"/>
  <c r="H231" i="3"/>
  <c r="D231" i="3"/>
  <c r="I230" i="3"/>
  <c r="H230" i="3"/>
  <c r="I229" i="3"/>
  <c r="H229" i="3"/>
  <c r="D229" i="3"/>
  <c r="I228" i="3"/>
  <c r="H228" i="3"/>
  <c r="D228" i="3"/>
  <c r="I227" i="3"/>
  <c r="H227" i="3"/>
  <c r="I224" i="3"/>
  <c r="I223" i="3"/>
  <c r="H223" i="3"/>
  <c r="I222" i="3"/>
  <c r="H222" i="3"/>
  <c r="I221" i="3"/>
  <c r="H221" i="3"/>
  <c r="D221" i="3"/>
  <c r="I219" i="3"/>
  <c r="H219" i="3"/>
  <c r="I218" i="3"/>
  <c r="H218" i="3"/>
  <c r="I217" i="3"/>
  <c r="H217" i="3"/>
  <c r="D217" i="3"/>
  <c r="I216" i="3"/>
  <c r="H216" i="3"/>
  <c r="D216" i="3"/>
  <c r="I215" i="3"/>
  <c r="H215" i="3"/>
  <c r="D215" i="3"/>
  <c r="I213" i="3"/>
  <c r="H213" i="3"/>
  <c r="I212" i="3"/>
  <c r="H212" i="3"/>
  <c r="I211" i="3"/>
  <c r="H211" i="3"/>
  <c r="I208" i="3"/>
  <c r="I207" i="3"/>
  <c r="H207" i="3"/>
  <c r="I206" i="3"/>
  <c r="H206" i="3"/>
  <c r="I204" i="3"/>
  <c r="H204" i="3"/>
  <c r="I203" i="3"/>
  <c r="H203" i="3"/>
  <c r="D203" i="3"/>
  <c r="I202" i="3"/>
  <c r="H202" i="3"/>
  <c r="D202" i="3"/>
  <c r="I200" i="3"/>
  <c r="H200" i="3"/>
  <c r="I199" i="3"/>
  <c r="H199" i="3"/>
  <c r="D199" i="3"/>
  <c r="I198" i="3"/>
  <c r="H198" i="3"/>
  <c r="D198" i="3"/>
  <c r="I197" i="3"/>
  <c r="H197" i="3"/>
  <c r="D197" i="3"/>
  <c r="I196" i="3"/>
  <c r="H196" i="3"/>
  <c r="D196" i="3"/>
  <c r="I194" i="3"/>
  <c r="H194" i="3"/>
  <c r="I193" i="3"/>
  <c r="H193" i="3"/>
  <c r="D193" i="3"/>
  <c r="I192" i="3"/>
  <c r="H192" i="3"/>
  <c r="D192" i="3"/>
  <c r="I191" i="3"/>
  <c r="H191" i="3"/>
  <c r="D191" i="3"/>
  <c r="I188" i="3"/>
  <c r="I187" i="3"/>
  <c r="H187" i="3"/>
  <c r="I186" i="3"/>
  <c r="H186" i="3"/>
  <c r="I185" i="3"/>
  <c r="H185" i="3"/>
  <c r="I184" i="3"/>
  <c r="H184" i="3"/>
  <c r="I183" i="3"/>
  <c r="H183" i="3"/>
  <c r="I181" i="3"/>
  <c r="H181" i="3"/>
  <c r="I180" i="3"/>
  <c r="H180" i="3"/>
  <c r="I179" i="3"/>
  <c r="H179" i="3"/>
  <c r="D179" i="3"/>
  <c r="I177" i="3"/>
  <c r="H177" i="3"/>
  <c r="I176" i="3"/>
  <c r="H176" i="3"/>
  <c r="D176" i="3"/>
  <c r="I175" i="3"/>
  <c r="H175" i="3"/>
  <c r="D175" i="3"/>
  <c r="I174" i="3"/>
  <c r="H174" i="3"/>
  <c r="D174" i="3"/>
  <c r="I173" i="3"/>
  <c r="H173" i="3"/>
  <c r="D173" i="3"/>
  <c r="I171" i="3"/>
  <c r="H171" i="3"/>
  <c r="I170" i="3"/>
  <c r="H170" i="3"/>
  <c r="I169" i="3"/>
  <c r="H169" i="3"/>
  <c r="I168" i="3"/>
  <c r="H168" i="3"/>
  <c r="I165" i="3"/>
  <c r="I164" i="3"/>
  <c r="H164" i="3"/>
  <c r="I163" i="3"/>
  <c r="H163" i="3"/>
  <c r="I162" i="3"/>
  <c r="H162" i="3"/>
  <c r="I161" i="3"/>
  <c r="H161" i="3"/>
  <c r="I160" i="3"/>
  <c r="H160" i="3"/>
  <c r="I158" i="3"/>
  <c r="H158" i="3"/>
  <c r="I157" i="3"/>
  <c r="H157" i="3"/>
  <c r="D157" i="3"/>
  <c r="I156" i="3"/>
  <c r="H156" i="3"/>
  <c r="D156" i="3"/>
  <c r="I154" i="3"/>
  <c r="H154" i="3"/>
  <c r="I153" i="3"/>
  <c r="H153" i="3"/>
  <c r="D153" i="3"/>
  <c r="I152" i="3"/>
  <c r="H152" i="3"/>
  <c r="D152" i="3"/>
  <c r="I151" i="3"/>
  <c r="H151" i="3"/>
  <c r="D151" i="3"/>
  <c r="I150" i="3"/>
  <c r="H150" i="3"/>
  <c r="D150" i="3"/>
  <c r="I148" i="3"/>
  <c r="H148" i="3"/>
  <c r="I147" i="3"/>
  <c r="H147" i="3"/>
  <c r="I146" i="3"/>
  <c r="H146" i="3"/>
  <c r="I145" i="3"/>
  <c r="H145" i="3"/>
  <c r="I142" i="3"/>
  <c r="I141" i="3"/>
  <c r="H141" i="3"/>
  <c r="I139" i="3"/>
  <c r="H139" i="3"/>
  <c r="I138" i="3"/>
  <c r="H138" i="3"/>
  <c r="D138" i="3"/>
  <c r="I137" i="3"/>
  <c r="H137" i="3"/>
  <c r="D137" i="3"/>
  <c r="I135" i="3"/>
  <c r="H135" i="3"/>
  <c r="I134" i="3"/>
  <c r="H134" i="3"/>
  <c r="D134" i="3"/>
  <c r="I133" i="3"/>
  <c r="H133" i="3"/>
  <c r="D133" i="3"/>
  <c r="I132" i="3"/>
  <c r="H132" i="3"/>
  <c r="D132" i="3"/>
  <c r="I131" i="3"/>
  <c r="H131" i="3"/>
  <c r="D131" i="3"/>
  <c r="I129" i="3"/>
  <c r="H129" i="3"/>
  <c r="I128" i="3"/>
  <c r="H128" i="3"/>
  <c r="D128" i="3"/>
  <c r="I127" i="3"/>
  <c r="H127" i="3"/>
  <c r="D127" i="3"/>
  <c r="I126" i="3"/>
  <c r="H126" i="3"/>
  <c r="D126" i="3"/>
  <c r="I123" i="3"/>
  <c r="I122" i="3"/>
  <c r="H122" i="3"/>
  <c r="I121" i="3"/>
  <c r="H121" i="3"/>
  <c r="D121" i="3"/>
  <c r="I120" i="3"/>
  <c r="H120" i="3"/>
  <c r="D120" i="3"/>
  <c r="I118" i="3"/>
  <c r="H118" i="3"/>
  <c r="I117" i="3"/>
  <c r="H117" i="3"/>
  <c r="I116" i="3"/>
  <c r="H116" i="3"/>
  <c r="I115" i="3"/>
  <c r="H115" i="3"/>
  <c r="I112" i="3"/>
  <c r="I111" i="3"/>
  <c r="H111" i="3"/>
  <c r="I110" i="3"/>
  <c r="H110" i="3"/>
  <c r="D110" i="3"/>
  <c r="I109" i="3"/>
  <c r="H109" i="3"/>
  <c r="D109" i="3"/>
  <c r="I107" i="3"/>
  <c r="H107" i="3"/>
  <c r="I106" i="3"/>
  <c r="H106" i="3"/>
  <c r="I105" i="3"/>
  <c r="H105" i="3"/>
  <c r="I104" i="3"/>
  <c r="H104" i="3"/>
  <c r="I101" i="3"/>
  <c r="I100" i="3"/>
  <c r="H100" i="3"/>
  <c r="I99" i="3"/>
  <c r="H99" i="3"/>
  <c r="I98" i="3"/>
  <c r="H98" i="3"/>
  <c r="D98" i="3"/>
  <c r="I97" i="3"/>
  <c r="H97" i="3"/>
  <c r="D97" i="3"/>
  <c r="I95" i="3"/>
  <c r="H95" i="3"/>
  <c r="I94" i="3"/>
  <c r="H94" i="3"/>
  <c r="D94" i="3"/>
  <c r="I93" i="3"/>
  <c r="H93" i="3"/>
  <c r="D93" i="3"/>
  <c r="I92" i="3"/>
  <c r="H92" i="3"/>
  <c r="D92" i="3"/>
  <c r="I89" i="3"/>
  <c r="I88" i="3"/>
  <c r="H88" i="3"/>
  <c r="I87" i="3"/>
  <c r="H87" i="3"/>
  <c r="D87" i="3"/>
  <c r="I86" i="3"/>
  <c r="H86" i="3"/>
  <c r="D86" i="3"/>
  <c r="I84" i="3"/>
  <c r="I83" i="3"/>
  <c r="H83" i="3"/>
  <c r="D83" i="3"/>
  <c r="I82" i="3"/>
  <c r="H82" i="3"/>
  <c r="D82" i="3"/>
  <c r="I81" i="3"/>
  <c r="H81" i="3"/>
  <c r="D81" i="3"/>
  <c r="I78" i="3"/>
  <c r="I77" i="3"/>
  <c r="H77" i="3"/>
  <c r="I76" i="3"/>
  <c r="H76" i="3"/>
  <c r="D76" i="3"/>
  <c r="I75" i="3"/>
  <c r="H75" i="3"/>
  <c r="D75" i="3"/>
  <c r="I73" i="3"/>
  <c r="H73" i="3"/>
  <c r="I72" i="3"/>
  <c r="H72" i="3"/>
  <c r="D72" i="3"/>
  <c r="I71" i="3"/>
  <c r="H71" i="3"/>
  <c r="D71" i="3"/>
  <c r="I70" i="3"/>
  <c r="H70" i="3"/>
  <c r="D70" i="3"/>
  <c r="I67" i="3"/>
  <c r="I66" i="3"/>
  <c r="H66" i="3"/>
  <c r="I65" i="3"/>
  <c r="H65" i="3"/>
  <c r="D65" i="3"/>
  <c r="I64" i="3"/>
  <c r="H64" i="3"/>
  <c r="D64" i="3"/>
  <c r="I62" i="3"/>
  <c r="H62" i="3"/>
  <c r="I61" i="3"/>
  <c r="H61" i="3"/>
  <c r="I60" i="3"/>
  <c r="H60" i="3"/>
  <c r="I59" i="3"/>
  <c r="H59" i="3"/>
  <c r="I56" i="3"/>
  <c r="I55" i="3"/>
  <c r="H55" i="3"/>
  <c r="I54" i="3"/>
  <c r="H54" i="3"/>
  <c r="D54" i="3"/>
  <c r="I53" i="3"/>
  <c r="H53" i="3"/>
  <c r="D53" i="3"/>
  <c r="I51" i="3"/>
  <c r="H51" i="3"/>
  <c r="I50" i="3"/>
  <c r="H50" i="3"/>
  <c r="D50" i="3"/>
  <c r="I49" i="3"/>
  <c r="H49" i="3"/>
  <c r="D49" i="3"/>
  <c r="I48" i="3"/>
  <c r="H48" i="3"/>
  <c r="D48" i="3"/>
  <c r="I45" i="3"/>
  <c r="I44" i="3"/>
  <c r="H44" i="3"/>
  <c r="I43" i="3"/>
  <c r="H43" i="3"/>
  <c r="D43" i="3"/>
  <c r="I42" i="3"/>
  <c r="H42" i="3"/>
  <c r="D42" i="3"/>
  <c r="I41" i="3"/>
  <c r="H41" i="3"/>
  <c r="D41" i="3"/>
  <c r="I40" i="3"/>
  <c r="H40" i="3"/>
  <c r="D40" i="3"/>
  <c r="I38" i="3"/>
  <c r="H38" i="3"/>
  <c r="I37" i="3"/>
  <c r="H37" i="3"/>
  <c r="D37" i="3"/>
  <c r="I36" i="3"/>
  <c r="H36" i="3"/>
  <c r="D36" i="3"/>
  <c r="I35" i="3"/>
  <c r="H35" i="3"/>
  <c r="D35" i="3"/>
  <c r="I32" i="3"/>
  <c r="I31" i="3"/>
  <c r="H31" i="3"/>
  <c r="I30" i="3"/>
  <c r="H30" i="3"/>
  <c r="D30" i="3"/>
  <c r="I29" i="3"/>
  <c r="H29" i="3"/>
  <c r="D29" i="3"/>
  <c r="I28" i="3"/>
  <c r="H28" i="3"/>
  <c r="D28" i="3"/>
  <c r="I26" i="3"/>
  <c r="H26" i="3"/>
  <c r="I25" i="3"/>
  <c r="H25" i="3"/>
  <c r="D25" i="3"/>
  <c r="I24" i="3"/>
  <c r="H24" i="3"/>
  <c r="D24" i="3"/>
  <c r="I23" i="3"/>
  <c r="H23" i="3"/>
  <c r="D23" i="3"/>
  <c r="I22" i="3"/>
  <c r="H22" i="3"/>
  <c r="D22" i="3"/>
  <c r="I21" i="3"/>
  <c r="H21" i="3"/>
  <c r="D21" i="3"/>
  <c r="I18" i="3"/>
  <c r="I17" i="3"/>
  <c r="H17" i="3"/>
  <c r="D17" i="3"/>
  <c r="I16" i="3"/>
  <c r="H16" i="3"/>
  <c r="D16" i="3"/>
  <c r="I15" i="3"/>
  <c r="H15" i="3"/>
  <c r="D15" i="3"/>
  <c r="I14" i="3"/>
  <c r="H14" i="3"/>
  <c r="D14" i="3"/>
  <c r="I12" i="3"/>
  <c r="H12" i="3"/>
  <c r="I11" i="3"/>
  <c r="H11" i="3"/>
  <c r="D11" i="3"/>
  <c r="I10" i="3"/>
  <c r="H10" i="3"/>
  <c r="D10" i="3"/>
  <c r="I9" i="3"/>
  <c r="H9" i="3"/>
  <c r="D9" i="3"/>
  <c r="I8" i="3"/>
  <c r="H8" i="3"/>
  <c r="D8" i="3"/>
  <c r="I7" i="3"/>
  <c r="H7" i="3"/>
  <c r="D7" i="3"/>
  <c r="E52" i="2"/>
  <c r="E51" i="2"/>
  <c r="E47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</calcChain>
</file>

<file path=xl/sharedStrings.xml><?xml version="1.0" encoding="utf-8"?>
<sst xmlns="http://schemas.openxmlformats.org/spreadsheetml/2006/main" count="1285" uniqueCount="326">
  <si>
    <t>建 设 地 点：重庆市涪陵区中江船业内</t>
  </si>
  <si>
    <t>工 程 类 别：装修工程</t>
  </si>
  <si>
    <t>工 程 造 价：</t>
  </si>
  <si>
    <t>元</t>
  </si>
  <si>
    <t>投标单位：</t>
  </si>
  <si>
    <t>日期：</t>
  </si>
  <si>
    <t>重轮长江云帆游轮标段I装饰工程量清单</t>
  </si>
  <si>
    <t>序号</t>
  </si>
  <si>
    <t>单位工程</t>
  </si>
  <si>
    <t>计量
单位</t>
  </si>
  <si>
    <t>工程计量</t>
  </si>
  <si>
    <t>合计</t>
  </si>
  <si>
    <t>备注</t>
  </si>
  <si>
    <t>壹</t>
  </si>
  <si>
    <t>装饰安装工程</t>
  </si>
  <si>
    <t>一</t>
  </si>
  <si>
    <t>主甲板区域</t>
  </si>
  <si>
    <t>主甲板随员间</t>
  </si>
  <si>
    <t>间</t>
  </si>
  <si>
    <t>主甲板随员间1人间/无沙发间</t>
  </si>
  <si>
    <t>主甲板内舱随员间</t>
  </si>
  <si>
    <t>主甲板六人船员间</t>
  </si>
  <si>
    <t>主甲板内舱船员间</t>
  </si>
  <si>
    <t>主甲板四人船员间</t>
  </si>
  <si>
    <t>主甲板一人船员间</t>
  </si>
  <si>
    <t>过道及储藏室（储藏室只做地面）</t>
  </si>
  <si>
    <t>监控室</t>
  </si>
  <si>
    <t>布草间</t>
  </si>
  <si>
    <t>自助洗衣房/船员洗衣房</t>
  </si>
  <si>
    <t>公共卫生间（船首）</t>
  </si>
  <si>
    <t>公共卫生间（船尾）</t>
  </si>
  <si>
    <t>男女晾衣间</t>
  </si>
  <si>
    <t>大洗衣间</t>
  </si>
  <si>
    <t>主甲板接待大厅</t>
  </si>
  <si>
    <t>船员餐厅</t>
  </si>
  <si>
    <t>主厨房</t>
  </si>
  <si>
    <t>员工厨房</t>
  </si>
  <si>
    <t>主甲板区域合计</t>
  </si>
  <si>
    <t>二</t>
  </si>
  <si>
    <t>舱内区域</t>
  </si>
  <si>
    <t>舱内服务大厅</t>
  </si>
  <si>
    <t>舱内电影院</t>
  </si>
  <si>
    <t>更衣室/新风控制室</t>
  </si>
  <si>
    <t>展廊</t>
  </si>
  <si>
    <t>棋牌室</t>
  </si>
  <si>
    <t>KTV</t>
  </si>
  <si>
    <t>spa</t>
  </si>
  <si>
    <t>过道</t>
  </si>
  <si>
    <t>公共卫生间</t>
  </si>
  <si>
    <t>茶水间</t>
  </si>
  <si>
    <t>阅览室</t>
  </si>
  <si>
    <t>党群活动室</t>
  </si>
  <si>
    <t>船员活动室</t>
  </si>
  <si>
    <t>船员健身房</t>
  </si>
  <si>
    <t>舱内区域合计</t>
  </si>
  <si>
    <t>工程直接费合计</t>
  </si>
  <si>
    <t>贰</t>
  </si>
  <si>
    <t>生产专项费用</t>
  </si>
  <si>
    <t>管理费成本</t>
  </si>
  <si>
    <t>项</t>
  </si>
  <si>
    <t>含：材料采购、施工组织、工艺设计、水电搭接、后勤配套，现场管理、检验配合、资料打印、清理等费用；投标单位自行填报</t>
  </si>
  <si>
    <t>工程保险费</t>
  </si>
  <si>
    <t>建筑工程一切险（含财产险、第三者险）、建筑工程意外险（保额100+5万）；投标单位自行填报</t>
  </si>
  <si>
    <t>安全文明施工费</t>
  </si>
  <si>
    <t>脚手架、劳保用品、成品保护、清洁除渣、二次搬运、夜间施工等；投标单位自行填报</t>
  </si>
  <si>
    <t>其他（工人食宿交通等费用）</t>
  </si>
  <si>
    <t>生产专项费用合计</t>
  </si>
  <si>
    <t>叁</t>
  </si>
  <si>
    <t>利润、税金</t>
  </si>
  <si>
    <t>装饰工程利润</t>
  </si>
  <si>
    <t>增值税税金（发票税率9%）</t>
  </si>
  <si>
    <t>利润、税金费用合计</t>
  </si>
  <si>
    <t>肆</t>
  </si>
  <si>
    <t>造价合计</t>
  </si>
  <si>
    <t>单项工程装饰工程计价清单</t>
  </si>
  <si>
    <t>工程名称：重轮长江云帆游轮装饰工程标段I</t>
  </si>
  <si>
    <t>项 目 名 称</t>
  </si>
  <si>
    <t>计量单位</t>
  </si>
  <si>
    <t>工程量</t>
  </si>
  <si>
    <t>人工费</t>
  </si>
  <si>
    <t>主材费</t>
  </si>
  <si>
    <t>辅材费</t>
  </si>
  <si>
    <t>综合单价</t>
  </si>
  <si>
    <t>总合价　　　　　　</t>
  </si>
  <si>
    <t>项目特征</t>
  </si>
  <si>
    <t>主甲板随员间（12间）</t>
  </si>
  <si>
    <t>天棚工程</t>
  </si>
  <si>
    <t>天棚基础预埋件、吊挂件</t>
  </si>
  <si>
    <t>㎡</t>
  </si>
  <si>
    <t>1、镀锌8#吊筋
2、30*30*3角钢/30*30*2矩管
3、焊缝打磨                                                                                                                                                                                                                4、防锈漆涂刷                                                                                                                                                                                                                5、低碳钢Q235                                                                                                                                                                                                                    6、投影面积计算工程量</t>
  </si>
  <si>
    <t>铝单板吊顶</t>
  </si>
  <si>
    <t>1、材质：铝材（甲供）                                                                                                                                                                                                               2、规格：定制,实际厚度2.0mm
3、色号：待定或详见其它相关资料                                                                                                                                                                                                                   4、含配套龙骨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</si>
  <si>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天棚铝单板+瓦楞板</t>
  </si>
  <si>
    <t>1、材质：铝材 （甲供）                                                                                                                                                                                                               2、规格：1.2厚铝单板+10瓦楞板
3、色号：待定或详见其它相关资料                                                                                                                                                                                                   4、含配套龙骨 
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</si>
  <si>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天棚铝单板天花收边条</t>
  </si>
  <si>
    <t>m</t>
  </si>
  <si>
    <t>1、材质：铝材  （甲供）                                                                                                                                                                                                                2、规格：实际厚度2.0mm
3、色号：待定或详见其它相关资料
4、表面处理：辊涂                                                                                                                                                                                                         5、周长计算工程量</t>
  </si>
  <si>
    <t>窗帘盒</t>
  </si>
  <si>
    <t>1、材质：铝材 （甲供）                                                                                                                                                                                                               2、规格：定制,实际厚度2.0mm
3、色号：待定或详见其它相关资料                                                                                                                                                                                                          4、含配套龙骨                                                                                                                                                                                                                                             6、按延长米计算工程量</t>
  </si>
  <si>
    <t>空调风栅（出风、回风）</t>
  </si>
  <si>
    <t>个</t>
  </si>
  <si>
    <t>1、材质：ABS                                                                                                                                                                                                                 2、规格：根据图纸深化
3、色号：待定或详见其它相关资料
4、表面处理：辊涂                                                                                                                                                                                                              5、含空调布袋的绑扎及材料；</t>
  </si>
  <si>
    <t>墙面工程</t>
  </si>
  <si>
    <t>墙面基础埋件制作</t>
  </si>
  <si>
    <t>m²</t>
  </si>
  <si>
    <t>1、25*25*2方钢
2、30*30*3角钢
3、焊缝打磨                                                                                                                                                                                                                                            4、防锈漆涂刷                                                                                                                                                                                                               5、低碳钢Q235                                                                                                                                                                                                             6、展开面积计算工程量</t>
  </si>
  <si>
    <t>墙面钢质复合岩棉板</t>
  </si>
  <si>
    <t>1、尺寸（mm）：550标准版宽、可见面模数板设计
2、厚度（mm）：25/50
3、隔音指数（dB）：33 
4、基材：双面0.6mm镀锌钢板
5、芯材：岩棉120kg/m³
6、面材：单面可见面 PVC贴膜
7、色卡：按设计选样
8、伸缩性L\W（%）≤150
9、尺寸稳定性（%）≤4                                                                                                                                                                                                     10、投影计算工程量、扣除门窗洞口面积                                                                                                                                                                                                                                    11、含此项目上所有开孔/加固  
12、主材甲供</t>
  </si>
  <si>
    <t>墙面镜片</t>
  </si>
  <si>
    <t xml:space="preserve">1、5MM清镜
2、磨边加工
3、玻璃胶等辅助材料
4、安装
</t>
  </si>
  <si>
    <t>房间门安装</t>
  </si>
  <si>
    <t>樘</t>
  </si>
  <si>
    <t>1、材质：防火门 及五金锁具（甲供）                                
2、规格：900*2200*45
3、色号：待定或详见其它相关资料
4、表面处理：设计选样                                                                                                                                                                                                                                                                                                                                                                                                                                                    5、含五金锁具安装</t>
  </si>
  <si>
    <t>小计</t>
  </si>
  <si>
    <t>主甲板随员间一人间(2间）</t>
  </si>
  <si>
    <t>1、材质：铝材 （主材甲供）                                                                                                                                                                                                               2、规格：定制,实际厚度2.0mm
3、色号：待定或详见其它相关资料                                                                                                                                                                                                                   4、含配套龙骨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</si>
  <si>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1、材质：铝材   （主材甲供）                                                                                                                                                                                                               2、规格：1.2厚铝单板+10瓦楞板
3、色号：待定或详见其它相关资料                                                                                                                                                                                                   4、含配套龙骨 
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</si>
  <si>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1、材质：铝材    （主材甲供）                                                                                                                                                                                                              2、规格：实际厚度2.0mm
3、色号：待定或详见其它相关资料
4、表面处理：辊涂                                                                                                                                                                                                         5、周长计算工程量</t>
  </si>
  <si>
    <t>1、材质：铝材   （主材甲供）                                                                                                                                                                                                             2、规格：定制,实际厚度2.0mm
3、色号：待定或详见其它相关资料                                                                                                                                                                                                          4、含配套龙骨                                                                                                                                                                                                                                             6、按延长米计算工程量</t>
  </si>
  <si>
    <t>1、尺寸（mm）：550标准版宽、可见面模数板设计
2、厚度（mm）：25/50
3、隔音指数（dB）：3/3 
4、基材：双面0.6mm镀锌钢板
5、芯材：岩棉120kg/m³
6、面材：单面可见面 PVC贴膜
7、色卡：按设计选样
8、伸缩性L\W（%）≤150
9、尺寸稳定性（%）≤4                                                                                                                                                                                                     10、投影计算工程量、扣除门窗洞口面积                                                                                                                                                                                                                                    11、含此项目上所有开孔/加固  
12、主材甲供</t>
  </si>
  <si>
    <t>房间防火门安装</t>
  </si>
  <si>
    <t>1、材质：防火门 及五金锁具（主材甲供）                                
2、规格：900*2200*45
3、色号：待定或详见其它相关资料
4、表面处理：设计选样                                                                                                                                                                                                                                                                                                                                                                                                                                                    5、含五金锁具安装</t>
  </si>
  <si>
    <t>三</t>
  </si>
  <si>
    <t>主甲板内舱随员间（1间）</t>
  </si>
  <si>
    <t>1、材质：铝材   （主材甲供）                                                                                                                                                                                                               2、规格：实际厚度2.0mm
3、色号：待定或详见其它相关资料
4、表面处理：辊涂                                                                                                                                                                                                         5、周长计算工程量</t>
  </si>
  <si>
    <t>墙面25mm钢质复合岩棉板</t>
  </si>
  <si>
    <t>1、尺寸（mm）：550标准版宽、可见面模数板设计
2、厚度（mm）：25
3、隔音指数（dB）：33 
4、基材：双面0.6mm镀锌钢板
5、芯材：岩棉120kg/m³
6、面材：单面可见面 PVC贴膜
7、色卡：按设计选样
8、伸缩性L\W（%）≤150
9、尺寸稳定性（%）≤4                                                                                                                                                                                                     10、投影计算工程量、扣除门窗洞口面积                                                                                                                                                                                                                                    11、含此项目上所有开孔/加固</t>
  </si>
  <si>
    <t>内舱背景造型</t>
  </si>
  <si>
    <t xml:space="preserve">1、钢龙骨或铝龙骨骨架                               
2、白色阻燃板基层
3、饰面冰纤维导光板（设计选样）
4、不锈钢收口线
5、做法：详施工图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</si>
  <si>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冰纤维导光板隔断</t>
  </si>
  <si>
    <t xml:space="preserve">1、不锈钢框架                           
2、饰面冰纤维导光板（设计选样）
3、做法：详施工图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</si>
  <si>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1、材质：防火门                                 
2、规格：900*2200*45
3、色号：待定或详见其它相关资料
4、表面处理：设计选样                                                                                                                                                                                                                                                                                                                                                                                                                                                    5、含五金锁具安装</t>
  </si>
  <si>
    <t>四</t>
  </si>
  <si>
    <t>主甲板六人船员间（23间）</t>
  </si>
  <si>
    <t>铝扣板吊顶</t>
  </si>
  <si>
    <t>1、材质：铝扣板+橡塑棉 （主材甲供）                                                                                                                                                                                                          2、规格：厚度0.8mm
3、色号：待定或详见其它相关资料                                                                                                                                                                                                                   4、含配套龙骨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</si>
  <si>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1、材质：铝材   （主材甲供）                                                                                                                                                                                                               2、规格：常规
3、色号：待定或详见其它相关资料
4、表面处理：辊涂                                                                                                                                                                                                         5、周长计算工程量</t>
  </si>
  <si>
    <t>1、材质：ABS                                                                                                                                                                                                                 2、规格：根据图纸深化
3、色号：待定或详见其它相关资料
4、表面处理：辊涂                                                                                                                                                                                                             5、含空调布袋的绑扎及材料；</t>
  </si>
  <si>
    <r>
      <rPr>
        <sz val="8"/>
        <rFont val="方正楷体简体"/>
        <family val="3"/>
        <charset val="134"/>
      </rPr>
      <t>1、尺寸（mm）：550标准版宽、可见面模数板设计
2、厚度（mm）：25/50
3、隔音指数（dB）：33 
4、基材：双面0.6mm镀锌钢板
5、芯材：岩棉120kg/m³
6、面材：单面可见面 PVC贴膜
7、色卡：按设计选样
8、伸缩性L\W（%）≤150
9、尺寸稳定性（%）≤4                                                                                                                                                                                                     10、投影计算工程量、扣除门窗洞口面积                                                                                                                                                                                                                                    11、含此项目上所有开孔/加固
12</t>
    </r>
    <r>
      <rPr>
        <sz val="8"/>
        <rFont val="宋体"/>
        <family val="3"/>
        <charset val="134"/>
      </rPr>
      <t>、供应方式：</t>
    </r>
    <r>
      <rPr>
        <sz val="8"/>
        <rFont val="方正楷体简体"/>
        <family val="3"/>
        <charset val="134"/>
      </rPr>
      <t xml:space="preserve">主材甲供
</t>
    </r>
  </si>
  <si>
    <t>1、材质：防火门及五金锁具  （主材甲供）                               
2、规格：900*2200*45
3、色号：待定或详见其它相关资料
4、表面处理：设计选样                                                                                                                                                                                                                                                                                                                                                                                                                                                    5、含五金锁具安装</t>
  </si>
  <si>
    <t>五</t>
  </si>
  <si>
    <t>主甲板船员内舱六人间（1间）</t>
  </si>
  <si>
    <r>
      <rPr>
        <sz val="8"/>
        <rFont val="方正楷体简体"/>
        <family val="3"/>
        <charset val="134"/>
      </rPr>
      <t>1、尺寸（mm）：550标准版宽、可见面模数板设计
2、厚度（mm）：25
3、隔音指数（dB）：33 
4、基材：双面0.6mm镀锌钢板
5、芯材：岩棉120kg/m³
6、面材：单面可见面 PVC贴膜
7、色卡：按设计选样
8、伸缩性L\W（%）≤150
9、尺寸稳定性（%）≤4                                                                                                                                                                                                     10、投影计算工程量、扣除门窗洞口面积                                                                                                                                                                                                                                    11、含此项目上所有开孔/加固
12</t>
    </r>
    <r>
      <rPr>
        <sz val="8"/>
        <rFont val="宋体"/>
        <family val="3"/>
        <charset val="134"/>
      </rPr>
      <t>、</t>
    </r>
    <r>
      <rPr>
        <sz val="8"/>
        <rFont val="方正楷体简体"/>
        <family val="3"/>
        <charset val="134"/>
      </rPr>
      <t>供应方式：主材甲供</t>
    </r>
  </si>
  <si>
    <t>六</t>
  </si>
  <si>
    <t>主甲板船员四人间（4间）</t>
  </si>
  <si>
    <t>1、尺寸（mm）：550标准版宽、可见面模数板设计
2、厚度（mm）：25
3、隔音指数（dB）：33 
4、基材：双面0.6mm镀锌钢板
5、芯材：岩棉120kg/m³
6、面材：单面可见面 PVC贴膜
7、色卡：按设计选样
8、伸缩性L\W（%）≤150
9、尺寸稳定性（%）≤4                                                                                                                                                                                                     10、投影计算工程量、扣除门窗洞口面积                                                                                                                                                                                                                                    11、含此项目上所有开孔/加固
12、供应方式：主材甲供</t>
  </si>
  <si>
    <t>七</t>
  </si>
  <si>
    <t>主甲板船员一人间（5间）</t>
  </si>
  <si>
    <t>1、材质：铝材 （主材甲供）                                                                                                                                                                                                                 2、规格：实际厚度1.0mm
3、色号：待定或详见其它相关资料
4、表面处理：辊涂                                                                                                                                                                                                         5、周长计算工程量</t>
  </si>
  <si>
    <r>
      <rPr>
        <sz val="8"/>
        <rFont val="方正楷体简体"/>
        <family val="3"/>
        <charset val="134"/>
      </rPr>
      <t>1、尺寸（mm）：550标准版宽、可见面模数板设计
2、厚度（mm）：25
3、隔音指数（dB）：33 
4、基材：双面0.6mm镀锌钢板
5、芯材：岩棉120kg/m³
6、面材：单面可见面 PVC贴膜
7、色卡：按设计选样
8、伸缩性L\W（%）≤150
9、尺寸稳定性（%）≤4                                                                                                                                                                                                     10、投影计算工程量、扣除门窗洞口面积                                                                                                                                                                                                                                    11、含此项目上所有开孔/加固
12</t>
    </r>
    <r>
      <rPr>
        <sz val="8"/>
        <rFont val="宋体"/>
        <family val="3"/>
        <charset val="134"/>
      </rPr>
      <t>、甲供主材</t>
    </r>
    <r>
      <rPr>
        <sz val="8"/>
        <rFont val="方正楷体简体"/>
        <family val="3"/>
        <charset val="134"/>
      </rPr>
      <t xml:space="preserve">
</t>
    </r>
  </si>
  <si>
    <t>1、材质：防火门及五金锁具（主材甲供）                                 
2、规格：900*2200*45
3、色号：待定或详见其它相关资料
4、表面处理：设计选样                                                                                                                                                                                                                                                                                                                                                                                                                                                    5、含五金锁具安装</t>
  </si>
  <si>
    <t>八</t>
  </si>
  <si>
    <t>过道及（储藏室只做地面）</t>
  </si>
  <si>
    <t>1、材质：铝材  （主材甲供）                                                                                                                                                                                                                2、规格：常规
3、色号：待定或详见其它相关资料
4、表面处理：辊涂                                                                                                                                                                                                         5、周长计算工程量</t>
  </si>
  <si>
    <t>1、材质：ABS                                                                                                                                                                                                                 2、规格：根据图纸深化
3、色号：待定或详见其它相关资料
4、表面处理：辊涂                                                                                                                                                                                                            5、含空调布袋的绑扎及材料；</t>
  </si>
  <si>
    <t>1、尺寸（mm）：550标准版宽、可见面模数板设计
2、厚度（mm）：50或25
3、隔音指数（dB）：33 
4、基材：双面0.6mm镀锌钢板
5、芯材：岩棉120kg/m³
6、面材：单面可见面 PVC贴膜
7、色卡：按设计选样
8、伸缩性L\W（%）≤150
9、尺寸稳定性（%）≤4                                                                                                                                                                                                     10、展开面积计算工程量、扣除门窗洞口面积                                                                                                                                                                                                                                    11、含此项目上所有开孔
12、供应方式：主材甲供</t>
  </si>
  <si>
    <t>带板检修门</t>
  </si>
  <si>
    <t>扇</t>
  </si>
  <si>
    <t>1、材料：钢质带板防火门      
2、防火级别：B15级
3、规格（mm）：按设计                                                                                                                                                                                                                   4、铰链形式：排铰链/暗铰链                                                                                                                                                                       5、门锁：通用三角锁                                                                                                                                                                                                                       6、隔音指数（dB）：33                                                                                                                                                                                                         7、包边形式：无包边                                                                                                                                                                                                                   8、表面处理：单面国产PVC贴膜                                                                                                                                                                                                    
9、计量方式：按实际安装数量计算工程量  
10、其它：无
11、持证要求：CCS证书
12、供应方式：主材甲供</t>
  </si>
  <si>
    <t>1、材质：防火门及五金锁具（主材甲供）                                 
2、规格：详图纸
3、色号：待定或详见其它相关资料
4、表面处理：设计选样                                                                                                                                                                                                                                                                                                                                                                                                                                                    5、含五金锁具安装</t>
  </si>
  <si>
    <t>九</t>
  </si>
  <si>
    <t>监控室（1间）</t>
  </si>
  <si>
    <t xml:space="preserve">1、尺寸（mm）：550标准版宽、可见面模数板设计
2、厚度（mm）：25
3、隔音指数（dB）：33 
4、基材：双面0.6mm镀锌钢板
5、芯材：岩棉120kg/m³
6、面材：单面可见面 PVC贴膜
7、色卡：按设计选样
8、伸缩性L\W（%）≤150
9、尺寸稳定性（%）≤4                                                                                                                                                                                                     10、投影计算工程量、扣除门窗洞口面积                                                                                                                                                                                                                                    11、含此项目上所有开孔/加固
12、甲供主材
</t>
  </si>
  <si>
    <t>十</t>
  </si>
  <si>
    <t>布草间（1间）</t>
  </si>
  <si>
    <t>1、材质：铝材  （甲供）                                                                                                                                                                                                                2、规格：实际厚度1.0mm
3、色号：待定或详见其它相关资料
4、表面处理：辊涂                                                                                                                                                                                                         5、周长计算工程量</t>
  </si>
  <si>
    <t>1、材质：ABS                                                                                                                                                                                                                 2、规格：根据图纸深化
3、色号：待定或详见其它相关资料
4、表面处理：辊涂                                                                                                                                                                                                           5、含空调布袋的绑扎及材料；</t>
  </si>
  <si>
    <t>1、25*25*2方钢
2、30*30*3角钢
3、焊缝打磨                                                                                                                                                                                                                                            4、防锈漆涂刷                                                                                                                                                                                                               5、低碳钢Q235                                                                                                                                                                                                             6、投影面积计算工程量</t>
  </si>
  <si>
    <r>
      <rPr>
        <sz val="8"/>
        <rFont val="方正楷体简体"/>
        <family val="3"/>
        <charset val="134"/>
      </rPr>
      <t>1、尺寸（mm）：550标准版宽、可见面模数板设计
2、厚度（mm）：25
3、隔音指数（dB）：33 
4、基材：双面0.6mm镀锌钢板
5、芯材：岩棉120kg/m³
6、面材：单面可见面 PVC贴膜
7、色卡：按设计选样
8、伸缩性L\W（%）≤150
9、尺寸稳定性（%）≤4                                                                                                                                                                                                     10、投影计算工程量、扣除门窗洞口面积                                                                                                                                                                                                                                    11、含此项目上所有开孔/加固  
12</t>
    </r>
    <r>
      <rPr>
        <sz val="8"/>
        <rFont val="宋体"/>
        <family val="3"/>
        <charset val="134"/>
      </rPr>
      <t>、主材甲供</t>
    </r>
  </si>
  <si>
    <t>1、材质：防火门 及锁具五金 （甲供）                               
2、规格：900*2200*45
3、色号：待定或详见其它相关资料
4、表面处理：设计选样                                                                                                                                                                                                                                                                                                                                                                                                                                                    5、含五金锁具安装</t>
  </si>
  <si>
    <t>十一</t>
  </si>
  <si>
    <t>自助洗衣间/船员洗衣间（1间）</t>
  </si>
  <si>
    <r>
      <rPr>
        <sz val="8"/>
        <rFont val="方正楷体简体"/>
        <family val="3"/>
        <charset val="134"/>
      </rPr>
      <t>1、尺寸（mm）：550标准版宽、可见面模数板设计
2、厚度（mm）：25
3、隔音指数（dB）：33 
4、基材：双面0.6mm镀锌钢板
5、芯材：岩棉120kg/m³
6、面材：单面可见面 PVC贴膜
7、色卡：按设计选样
8、伸缩性L\W（%）≤150
9、尺寸稳定性（%）≤4                                                                                                                                                                                                     10、投影计算工程量、扣除门窗洞口面积                                                                                                                                                                                                                                    11、含此项目上所有开孔/加固
12</t>
    </r>
    <r>
      <rPr>
        <sz val="8"/>
        <rFont val="宋体"/>
        <family val="3"/>
        <charset val="134"/>
      </rPr>
      <t>、</t>
    </r>
    <r>
      <rPr>
        <sz val="8"/>
        <rFont val="方正楷体简体"/>
        <family val="3"/>
        <charset val="134"/>
      </rPr>
      <t>主材甲供</t>
    </r>
  </si>
  <si>
    <t>墙面墙砖</t>
  </si>
  <si>
    <t>1、10*10钢网铺贴
2、水泥砂浆找平层
3、300*600墙砖（主材甲供）
4、胶泥粘贴
5、勾缝处理</t>
  </si>
  <si>
    <t>墙面防水</t>
  </si>
  <si>
    <t xml:space="preserve">1、基层清理                               
2、丙纶防水涂料
3、施工高度：1200MM
4、防水涂料保护层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</si>
  <si>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1、材质：防火门  (甲供）                               
2、规格：800*2100*45
3、色号：待定或详见其它相关资料
4、表面处理：设计选样                                                                                                                                                                                                                                                                                                                                                                                                                                                    5、含五金锁具安装</t>
  </si>
  <si>
    <t>地面工程</t>
  </si>
  <si>
    <t>地面防水</t>
  </si>
  <si>
    <t xml:space="preserve">1、基层清理                               
2、丙纶防水涂料
3、落水管口加强处理
4、防水涂料保护层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</si>
  <si>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地砖</t>
  </si>
  <si>
    <t xml:space="preserve">1、材质：防滑地砖 （甲供）                                
2、规格：300*300
3、色号：设计选样
4、表面处理：自然勾缝 
5、含河沙水泥胶泥等辅助材料                                                                                                                                                                                                                                                </t>
  </si>
  <si>
    <t>地漏</t>
  </si>
  <si>
    <t>1、材质：304不锈钢密闭式防臭地漏
2、位置：按照设计位置
3、规格：管道口DN50</t>
  </si>
  <si>
    <t>安装工程</t>
  </si>
  <si>
    <t>洗槽安装</t>
  </si>
  <si>
    <t>1、成品洗槽安装（主材甲供）
2、水龙头安装及三角阀安装
3、下水软管安装</t>
  </si>
  <si>
    <t>十二</t>
  </si>
  <si>
    <t>公共卫生间（船首1间）</t>
  </si>
  <si>
    <t>换气扇</t>
  </si>
  <si>
    <t>1、材质：成品静音换气扇
2、规格：300*300</t>
  </si>
  <si>
    <t>蹲便器及水箱</t>
  </si>
  <si>
    <t xml:space="preserve">1、蹲便器水箱安装（主材甲供）
2、地台砌筑
3、三角阀高压管卷安装
</t>
  </si>
  <si>
    <t>立柱盆安装</t>
  </si>
  <si>
    <t>1、立柱盆安装（主材甲供）
2、水龙头安装及三角阀安装
3、下水软管安装</t>
  </si>
  <si>
    <t>卫浴镜</t>
  </si>
  <si>
    <t>张</t>
  </si>
  <si>
    <t xml:space="preserve">1、成品卫浴镜（主材甲供）
2、定位安装
</t>
  </si>
  <si>
    <t>卫生间隔断</t>
  </si>
  <si>
    <t>1、成品五金件
2、防水抗倍特板
3、颜色：设计选样</t>
  </si>
  <si>
    <t>卷纸盒</t>
  </si>
  <si>
    <t>1、成品卷纸盒
2、颜色：设计选样</t>
  </si>
  <si>
    <t>十三</t>
  </si>
  <si>
    <t>公共卫生间（船尾1间）</t>
  </si>
  <si>
    <t xml:space="preserve">1、蹲便器水箱安装（主材甲供）
2、地台砌筑
3、三角阀高压管安装
</t>
  </si>
  <si>
    <t>十四</t>
  </si>
  <si>
    <t>男女晾衣间（1间）</t>
  </si>
  <si>
    <t>淋浴龙头</t>
  </si>
  <si>
    <t>1、淋浴龙头安装
2、花洒安装
3、主材甲供</t>
  </si>
  <si>
    <t>大洗衣间（1间）</t>
  </si>
  <si>
    <t>1、材质：铝制空腹门  (甲供）                               
2、规格：800*2100*45
3、色号：待定或详见其它相关资料
4、表面处理：设计选样                                                                                                                                                                                                                                                                                                                                                                                                                                                    5、含五金锁具安装</t>
  </si>
  <si>
    <t>十五</t>
  </si>
  <si>
    <t>主甲板接待大厅（1间）</t>
  </si>
  <si>
    <t>1、材质：铝材（主材甲供）                                                                                                                                                                                                               2、规格：实际厚度1.5mm
3、色号：待定或详见其它相关资料                                                                                                                                                                                                                   4、含轻钢龙骨及配件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</si>
  <si>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天棚蜂窝板吊顶</t>
  </si>
  <si>
    <t>1、材质：铝材 （主材甲供）                                                                                                                                                                                                               2、规格：1.5CM铝蜂窝板
3、色号：待定或详见其它相关资料                                                                                                                                                                                                   4、辅料：勾搭龙骨（甲供）
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</si>
  <si>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1、材质：铝材  （甲供）                                                                                                                                                                                                                2、规格：实际厚度1.5mm
3、色号：待定或详见其它相关资料
4、表面处理：辊涂                                                                                                                                                                                                         5、周长计算工程量</t>
  </si>
  <si>
    <t>空调风栅（出风）</t>
  </si>
  <si>
    <t>墙面铝蜂窝板</t>
  </si>
  <si>
    <t>1、材质：铝材 （主材甲供）                                                                                                                                                                                                               2、规格：2.5CM铝蜂窝板
3、色号：待定或详见其它相关资料                                                                                                                                                                                                   4、辅料：铝合金龙骨（乙供）
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</si>
  <si>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铝蜂窝板包圆柱</t>
  </si>
  <si>
    <t>1、材质：铝材 （主材甲供）                                                                                                                                                                                                               2、规格：2.5CM铝蜂窝板
3、做法：详施工图 
4、辅料：铝合金龙骨（乙供）
5、含此项目上所有开孔及加固                                                                                                                                                                                                 6、按照延长米计算工程量</t>
  </si>
  <si>
    <t>接待台背景造型</t>
  </si>
  <si>
    <t xml:space="preserve">1、钢龙骨或铝龙骨骨架                               
2、白色阻燃板基层
3、饰面冰纤维导光板（设计选样）
4、不锈钢收口线（甲供）
5、做法：详施工图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</si>
  <si>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接待台</t>
  </si>
  <si>
    <t xml:space="preserve">1、铝龙骨骨架                               
2、阻燃板基层
3、石材台面
4、铝板转印饰面
5、铝蜂窝板柜门
6、五金配件 
 7、做法详施工图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</si>
  <si>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防火门安装</t>
  </si>
  <si>
    <t>1、材质：防火门                                 
2、规格：按图纸
3、色号：待定或详见其它相关资料
4、表面处理：设计选样                                                                                                                                                                                                                                                                                                                                                                                                                                                    5、含五金锁具安装</t>
  </si>
  <si>
    <t>暗藏柜</t>
  </si>
  <si>
    <t xml:space="preserve">1、钢龙骨或铝龙骨骨架                               
2、铝蜂窝板基层
3、铝蜂窝板柜门
4、配套五金
5、做法详施工图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</si>
  <si>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地面石材</t>
  </si>
  <si>
    <t xml:space="preserve">1、材质：石材 设计选样（甲供）                                
2、规格：按深化排版图
4、表面处理：镜面结晶处理
5、含河沙水泥胶泥等辅助材料                                                                                                                                                                                                                                                </t>
  </si>
  <si>
    <t>梯步石材</t>
  </si>
  <si>
    <t>十六</t>
  </si>
  <si>
    <t>船员餐厅（1间）</t>
  </si>
  <si>
    <t>天棚铝瓦楞板</t>
  </si>
  <si>
    <t>1、尺寸（mm）：550标准版宽、可见面模数板设计
2、厚度（mm）：25
3、隔音指数（dB）：33 
4、基材：双面0.6mm镀锌钢板
5、芯材：岩棉120kg/m³
6、面材：单面可见面 PVC贴膜
7、色卡：按设计选样
8、伸缩性L\W（%）≤150
9、尺寸稳定性（%）≤4                                                                                                                                                                                                     10、投影计算工程量、扣除门窗洞口面积                                                                                                                                                                                                                                    11、含此项目上所有开孔/加固  
12、主材甲供</t>
  </si>
  <si>
    <t>1、材质：防火门 及五金锁具（甲供）                                
2、规格：按设计
3、色号：待定或详见其它相关资料
4、表面处理：设计选样                                                                                                                                                                                                                                                                                                                                                                                                                                                    5、含五金锁具安装</t>
  </si>
  <si>
    <t>十七</t>
  </si>
  <si>
    <t>不锈钢复合岩棉板吊顶</t>
  </si>
  <si>
    <r>
      <rPr>
        <sz val="8"/>
        <rFont val="方正楷体简体"/>
        <family val="3"/>
        <charset val="134"/>
      </rPr>
      <t>1、尺寸（mm）：550标准版宽、可见面模数板设计
2、厚度（mm）：25
3、隔音指数（dB）：33 
4、基材：双面0.6mm不锈钢
5、芯材：岩棉120kg/m³
6、色卡：按设计选样
7、伸缩性L\W（%）≤150
8、尺寸稳定性（%）≤4                                                                                                                                                                                                                                                                                                                                                                                                                                      9、含此项目上所有开孔/加固
10</t>
    </r>
    <r>
      <rPr>
        <sz val="8"/>
        <rFont val="宋体"/>
        <family val="3"/>
        <charset val="134"/>
      </rPr>
      <t>、</t>
    </r>
    <r>
      <rPr>
        <sz val="8"/>
        <rFont val="方正楷体简体"/>
        <family val="3"/>
        <charset val="134"/>
      </rPr>
      <t>主材甲供</t>
    </r>
  </si>
  <si>
    <t>墙面不锈钢复合岩棉板</t>
  </si>
  <si>
    <t>1、材质：防火门  (甲供）                               
2、规格：详设计
3、色号：待定或详见其它相关资料
4、表面处理：设计选样                                                                                                                                                                                                                                                                                                                                                                                                                                                    5、含五金锁具安装</t>
  </si>
  <si>
    <t>十八</t>
  </si>
  <si>
    <t>复合岩棉板不锈钢吊顶</t>
  </si>
  <si>
    <t>舱内服务大厅（1间）</t>
  </si>
  <si>
    <t>铝方通吊顶</t>
  </si>
  <si>
    <t>1、材质：铝材（主材甲供）                                                                                                                                                                                                               2、规格：50*50
3、色号：待定或详见其它相关资料                                                                                                                                                                                                                   4、含轻钢龙骨及配件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</si>
  <si>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1、25*25*2方钢
2、30*30*3角钢
3、焊缝打磨                                                                                                                                                                                                                                            4、防锈漆涂刷                                                                                                                                                                                                               5、低碳钢Q235                                                                                                                                                                                                             6、按照投影计算工程量</t>
  </si>
  <si>
    <t>根</t>
  </si>
  <si>
    <t xml:space="preserve">1、铝龙骨骨架                               
2、铝蜂窝板基层
3、石材台面
4、铝板转印饰面
5、铝蜂窝板柜门
6、五金配件 
 7、做法详施工图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</si>
  <si>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电影院（1间）</t>
  </si>
  <si>
    <t>铝吸音板吊顶</t>
  </si>
  <si>
    <t>1、材质：铝材 （主材甲供）                                                                                                                                                                                                               2、规格：铝吸音板吊顶
3、色号：待定或详见其它相关资料                                                                                                                                                                                                   4、辅料：勾搭龙骨（甲供）
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</si>
  <si>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空调风栅（出风/回风）</t>
  </si>
  <si>
    <t>墙面造型吸音板</t>
  </si>
  <si>
    <t>1、材质：铝材 （主材甲供）                                                                                                                                                                                                               2、规格：铝吸音板
3、色号：待定或详见其它相关资料                                                                                                                                                                                                   4、辅料：铝合金龙骨（乙供）
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</si>
  <si>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更衣室/新风控制室（2间）</t>
  </si>
  <si>
    <t>铝单板</t>
  </si>
  <si>
    <t>展廊（1间）</t>
  </si>
  <si>
    <t>铝瓦楞复合板</t>
  </si>
  <si>
    <t>1、材质：铝瓦楞板（主材甲供）                                                                                                                                                                                                               2、规格：15铝瓦楞板吊顶
3、色号：待定或详见其它相关资料                                                                                                                                                                                                                   4、含轻钢龙骨及配件 （甲供）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</si>
  <si>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石材梯步</t>
  </si>
  <si>
    <t>棋牌室(6间）</t>
  </si>
  <si>
    <t>墙面uv木纹转印板</t>
  </si>
  <si>
    <t>1、材质：uv转印板 （主材甲供）                                                                                                                                                                                                               2、规格：按设计定制
3、色号：待定或详见其它相关资料                                                                                                                                                                                                   4、辅料：铝合金龙骨
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</si>
  <si>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墙面复合岩棉板</t>
  </si>
  <si>
    <t>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</si>
  <si>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地面防木地板地砖</t>
  </si>
  <si>
    <t xml:space="preserve">1、材质：仿木地板地砖（甲供）                                
2、规格：150*900
3、色号：设计选样
4、表面处理：自然勾缝 
5、含河沙水泥胶泥等辅助材料                                                                                                                                                                                                                                                </t>
  </si>
  <si>
    <t>KTV（2间）</t>
  </si>
  <si>
    <t>天棚硬包</t>
  </si>
  <si>
    <t xml:space="preserve">1、阻燃板基层
2、面材：按照设计选样
3、含此项目上所有开孔/加固  </t>
  </si>
  <si>
    <t>天棚铝单板吊顶（星光顶）</t>
  </si>
  <si>
    <t>1、材质：铝材 （主材甲供）                                                                                                                                                                                                               2、规格：1.5CM铝单板
3、色号：待定或详见其它相关资料                                                                                                                                                                                                   4、辅料：轻钢龙骨（甲供）
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</si>
  <si>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墙面硬包</t>
  </si>
  <si>
    <t>SPA（2间）</t>
  </si>
  <si>
    <t>1、材质：铝材（主材甲供）                                                                                                                                                                                                               2、规格：实际厚度1.5mm
3、色号：待定或详见其它相关资料                                                                                                                                                                                                                   4、含轻钢龙骨及配件  （甲供）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</si>
  <si>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1、材质：铝材 （甲供）                                                                                                                                                                                                               2、规格：25厚铝蜂窝板
3、色号：待定或详见其它相关资料                                                                                                                                                                                                   4、含铝合金龙骨（乙供）
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</si>
  <si>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过道（1间）</t>
  </si>
  <si>
    <t>天棚铝蜂窝板</t>
  </si>
  <si>
    <t>1、材质：铝材 （甲供）                                                                                                                                                                                                               2、规格：1.5厚铝蜂窝板
3、色号：待定或详见其它相关资料                                                                                                                                                                                                   4、含配套龙骨 
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</si>
  <si>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1、材质：铝材 （主材甲供）                                                                                                                                                                                                               2、规格：2.5CM铝蜂窝板
3、色号：待定或详见其它相关资料                                                                                                                                                                                                   4、辅料：铝合金龙骨
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</si>
  <si>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过道造型</t>
  </si>
  <si>
    <t>卫生间（1间）</t>
  </si>
  <si>
    <t>天棚铝蜂窝板吊顶</t>
  </si>
  <si>
    <t>1、材质：铝材 （主材甲供）                                                                                                                                                                                                               2、规格：1.5CM铝蜂窝板
3、色号：待定或详见其它相关资料                                                                                                                                                                                                   4、辅料：铝合金龙骨
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</si>
  <si>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1、材质：静音换气扇
2、规格：300*300</t>
  </si>
  <si>
    <t>墙面铝蜂窝复合板</t>
  </si>
  <si>
    <t>1、材质：铝蜂窝基层+墙砖（主材甲供）                                                                                                                                                                                                               2、规格：600*1200
3、色号：待定或详见其它相关资料                                                                                                                                                                                                   4、辅料：铝合金龙骨
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</si>
  <si>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 xml:space="preserve">1、材质：地面石材 （甲供）                                
2、规格：300*300
3、色号：设计选样
4、表面处理：自然勾缝 
5、含河沙水泥胶泥等辅助材料                                                                                                                                                                                                                                                </t>
  </si>
  <si>
    <t>洗手盆</t>
  </si>
  <si>
    <t>1、洗手盆安装（主材甲供）
2、石材台面
3、龙头下水三角阀软管等安装</t>
  </si>
  <si>
    <t>马桶</t>
  </si>
  <si>
    <t xml:space="preserve">1、马桶（主材甲供）
2、定位安装
3、玻璃胶等辅料
</t>
  </si>
  <si>
    <t xml:space="preserve">1、卷纸盒（主材甲供）
2、定位安装
3、玻璃胶等辅料
</t>
  </si>
  <si>
    <t>茶水间(1间）</t>
  </si>
  <si>
    <t>茶水柜</t>
  </si>
  <si>
    <t>1、材质：铝龙骨基础                               
2、规格：铝蜂窝板柜体柜门
3、人造石台面
4、含配套五金                                                                                                                                                                                                                                                                                                                                                                                                                                                   5、开孔</t>
  </si>
  <si>
    <t>1、不锈钢洗手盆安装
2、龙头下水三角阀软管等安装</t>
  </si>
  <si>
    <t>阅览室（1间）</t>
  </si>
  <si>
    <t>党群活动室（1间）</t>
  </si>
  <si>
    <t>船员活动室（1间）</t>
  </si>
  <si>
    <t>船员健身房（1间）</t>
  </si>
  <si>
    <t>工程名称：华夏5号豪华游轮整改装饰工程（船员及配套区域）</t>
  </si>
  <si>
    <t>主材</t>
  </si>
  <si>
    <t xml:space="preserve">工作内容 </t>
  </si>
  <si>
    <t>损耗</t>
  </si>
  <si>
    <t>冰冻室</t>
  </si>
  <si>
    <t>维修类</t>
  </si>
  <si>
    <t>拆除工程</t>
  </si>
  <si>
    <t>地面地胶拆除</t>
  </si>
  <si>
    <t>人工拆除，出渣到渣场</t>
  </si>
  <si>
    <t>天棚吊顶拆除</t>
  </si>
  <si>
    <t xml:space="preserve">1、生产设计          2、材料供应               3、安装                                       </t>
  </si>
  <si>
    <t>1、材质：铝材                                                                                                                                                                                                                2、规格：600*600mm、长度定尺,实际厚度0.8mm
3、色号：待定或详见其它相关资料
4、表面处理：辊涂                                                                                                                                                                                                                     5、含配套卡式龙骨                                                                                                                                                                                                                                      6、含此项目上所有开孔及加固                                                                                                                                                                                                       7、投影面积计算工程量</t>
  </si>
  <si>
    <t>天棚铝扣板天花收边条</t>
  </si>
  <si>
    <t>1、材质：铝材                                                                                                                                                                                                                  2、规格：实际厚度2.0mm
3、色号：待定或详见其它相关资料
4、表面处理：辊涂                                                                                                                                                                                                         5、周长计算工程量</t>
  </si>
  <si>
    <t>建筑模板找平</t>
  </si>
  <si>
    <t>1、材质：建筑模板                                       2、规格：实际厚度15mm</t>
  </si>
  <si>
    <t>双层</t>
  </si>
  <si>
    <t>地胶</t>
  </si>
  <si>
    <t>1、尺寸（mm）：卷材
2、厚度（mm）：2.0mm
3、耐磨层厚度（mm）：0.7mm
4、提供CCS认可证书
5、投影面积计算工程量</t>
  </si>
  <si>
    <t>装 饰 工 程 造 价 报 价 单</t>
    <phoneticPr fontId="23" type="noConversion"/>
  </si>
  <si>
    <t>工 程 名 称：150米三峡游轮装饰工程劳务（标段Ⅰ）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</si>
</sst>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24">
    <font>
      <sz val="12"/>
      <color theme="1"/>
      <name val="等线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等线"/>
      <family val="3"/>
      <charset val="134"/>
      <scheme val="minor"/>
    </font>
    <font>
      <sz val="11"/>
      <name val="等线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等线"/>
      <family val="3"/>
      <charset val="134"/>
    </font>
    <font>
      <sz val="11"/>
      <name val="SimSun"/>
      <charset val="134"/>
    </font>
    <font>
      <sz val="11"/>
      <name val="等线"/>
      <family val="3"/>
      <charset val="134"/>
      <scheme val="minor"/>
    </font>
    <font>
      <sz val="10"/>
      <name val="方正楷体简体"/>
      <family val="3"/>
      <charset val="134"/>
    </font>
    <font>
      <b/>
      <sz val="8"/>
      <name val="方正楷体简体"/>
      <family val="3"/>
      <charset val="134"/>
    </font>
    <font>
      <sz val="8"/>
      <name val="方正楷体简体"/>
      <family val="3"/>
      <charset val="134"/>
    </font>
    <font>
      <sz val="12"/>
      <name val="方正楷体简体"/>
      <family val="3"/>
      <charset val="134"/>
    </font>
    <font>
      <b/>
      <sz val="12"/>
      <name val="方正楷体简体"/>
      <family val="3"/>
      <charset val="134"/>
    </font>
    <font>
      <b/>
      <sz val="16"/>
      <name val="方正楷体简体"/>
      <family val="3"/>
      <charset val="134"/>
    </font>
    <font>
      <sz val="12"/>
      <color theme="8"/>
      <name val="等线"/>
      <family val="3"/>
      <charset val="134"/>
      <scheme val="minor"/>
    </font>
    <font>
      <b/>
      <sz val="28"/>
      <name val="宋体"/>
      <family val="3"/>
      <charset val="134"/>
    </font>
    <font>
      <b/>
      <sz val="12"/>
      <name val="宋体"/>
      <family val="3"/>
      <charset val="134"/>
    </font>
    <font>
      <sz val="10"/>
      <name val="Geneva"/>
      <family val="1"/>
    </font>
    <font>
      <sz val="8"/>
      <name val="宋体"/>
      <family val="3"/>
      <charset val="134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21" fillId="0" borderId="0"/>
    <xf numFmtId="0" fontId="8" fillId="0" borderId="0">
      <alignment vertical="center"/>
    </xf>
    <xf numFmtId="0" fontId="8" fillId="0" borderId="0"/>
    <xf numFmtId="0" fontId="5" fillId="0" borderId="0"/>
    <xf numFmtId="0" fontId="8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1" applyFont="1" applyAlignment="1" applyProtection="1">
      <alignment horizontal="center" vertical="center" wrapText="1"/>
      <protection locked="0"/>
    </xf>
    <xf numFmtId="0" fontId="1" fillId="0" borderId="0" xfId="2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7" fillId="0" borderId="1" xfId="4" applyNumberFormat="1" applyFont="1" applyBorder="1" applyAlignment="1" applyProtection="1">
      <alignment horizontal="center" vertical="center" wrapText="1"/>
      <protection locked="0"/>
    </xf>
    <xf numFmtId="9" fontId="7" fillId="0" borderId="1" xfId="4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/>
    <xf numFmtId="0" fontId="16" fillId="0" borderId="0" xfId="0" applyFont="1" applyAlignment="1"/>
    <xf numFmtId="0" fontId="15" fillId="3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15" fillId="0" borderId="1" xfId="1" applyFont="1" applyBorder="1" applyAlignment="1" applyProtection="1">
      <alignment horizontal="center" vertical="center" wrapText="1"/>
      <protection locked="0"/>
    </xf>
    <xf numFmtId="177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4" applyFont="1" applyBorder="1" applyAlignment="1" applyProtection="1">
      <alignment horizontal="left" vertical="center" wrapText="1"/>
      <protection locked="0"/>
    </xf>
    <xf numFmtId="0" fontId="15" fillId="0" borderId="1" xfId="4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176" fontId="15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6" fillId="0" borderId="1" xfId="4" applyFont="1" applyBorder="1" applyAlignment="1" applyProtection="1">
      <alignment horizontal="center" vertical="center" wrapText="1"/>
      <protection locked="0"/>
    </xf>
    <xf numFmtId="0" fontId="15" fillId="0" borderId="1" xfId="4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176" fontId="20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4" borderId="5" xfId="4" applyFont="1" applyFill="1" applyBorder="1" applyAlignment="1" applyProtection="1">
      <alignment horizontal="left" vertical="center" wrapText="1"/>
      <protection locked="0"/>
    </xf>
    <xf numFmtId="0" fontId="15" fillId="4" borderId="6" xfId="4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/>
    </xf>
    <xf numFmtId="0" fontId="15" fillId="3" borderId="5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left" vertical="center"/>
    </xf>
    <xf numFmtId="0" fontId="13" fillId="0" borderId="1" xfId="5" applyFont="1" applyBorder="1" applyAlignment="1" applyProtection="1">
      <alignment horizontal="center" vertical="center" wrapText="1"/>
      <protection locked="0"/>
    </xf>
    <xf numFmtId="0" fontId="13" fillId="0" borderId="1" xfId="5" applyFont="1" applyBorder="1" applyAlignment="1" applyProtection="1">
      <alignment horizontal="left" vertical="center" wrapText="1"/>
      <protection locked="0"/>
    </xf>
    <xf numFmtId="176" fontId="13" fillId="0" borderId="1" xfId="5" applyNumberFormat="1" applyFont="1" applyBorder="1" applyAlignment="1" applyProtection="1">
      <alignment horizontal="center" vertical="center" wrapText="1"/>
      <protection locked="0"/>
    </xf>
    <xf numFmtId="0" fontId="13" fillId="0" borderId="1" xfId="4" applyFont="1" applyBorder="1" applyAlignment="1" applyProtection="1">
      <alignment horizontal="left" vertical="center" wrapText="1"/>
      <protection locked="0"/>
    </xf>
    <xf numFmtId="176" fontId="13" fillId="0" borderId="1" xfId="4" applyNumberFormat="1" applyFont="1" applyBorder="1" applyAlignment="1" applyProtection="1">
      <alignment horizontal="left" vertical="center" wrapText="1"/>
      <protection locked="0"/>
    </xf>
    <xf numFmtId="176" fontId="13" fillId="0" borderId="1" xfId="4" applyNumberFormat="1" applyFont="1" applyBorder="1" applyAlignment="1" applyProtection="1">
      <alignment horizontal="center" vertical="center" wrapText="1"/>
      <protection locked="0"/>
    </xf>
    <xf numFmtId="0" fontId="13" fillId="0" borderId="1" xfId="4" applyFont="1" applyBorder="1" applyAlignment="1" applyProtection="1">
      <alignment horizontal="center" vertical="center" wrapText="1"/>
      <protection locked="0"/>
    </xf>
    <xf numFmtId="0" fontId="14" fillId="0" borderId="1" xfId="4" applyFont="1" applyBorder="1" applyAlignment="1" applyProtection="1">
      <alignment horizontal="center" vertical="center" wrapText="1"/>
      <protection locked="0"/>
    </xf>
    <xf numFmtId="176" fontId="14" fillId="0" borderId="1" xfId="4" applyNumberFormat="1" applyFont="1" applyBorder="1" applyAlignment="1" applyProtection="1">
      <alignment horizontal="center" vertical="center" wrapText="1"/>
      <protection locked="0"/>
    </xf>
    <xf numFmtId="176" fontId="13" fillId="0" borderId="2" xfId="4" applyNumberFormat="1" applyFont="1" applyBorder="1" applyAlignment="1" applyProtection="1">
      <alignment horizontal="center" vertical="center" wrapText="1"/>
      <protection locked="0"/>
    </xf>
    <xf numFmtId="176" fontId="13" fillId="0" borderId="3" xfId="4" applyNumberFormat="1" applyFont="1" applyBorder="1" applyAlignment="1" applyProtection="1">
      <alignment horizontal="center" vertical="center" wrapText="1"/>
      <protection locked="0"/>
    </xf>
    <xf numFmtId="176" fontId="13" fillId="0" borderId="1" xfId="1" applyNumberFormat="1" applyFont="1" applyBorder="1" applyAlignment="1" applyProtection="1">
      <alignment horizontal="center" vertical="center" wrapText="1"/>
      <protection locked="0"/>
    </xf>
    <xf numFmtId="176" fontId="14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1" xfId="5" applyFont="1" applyBorder="1" applyAlignment="1" applyProtection="1">
      <alignment horizontal="center" vertical="center" wrapText="1"/>
      <protection locked="0"/>
    </xf>
    <xf numFmtId="0" fontId="6" fillId="0" borderId="1" xfId="5" applyFont="1" applyBorder="1" applyAlignment="1" applyProtection="1">
      <alignment horizontal="center" vertical="center" wrapText="1"/>
      <protection locked="0"/>
    </xf>
    <xf numFmtId="176" fontId="6" fillId="0" borderId="1" xfId="5" applyNumberFormat="1" applyFont="1" applyBorder="1" applyAlignment="1" applyProtection="1">
      <alignment horizontal="center" vertical="center" wrapText="1"/>
      <protection locked="0"/>
    </xf>
    <xf numFmtId="9" fontId="6" fillId="0" borderId="1" xfId="5" applyNumberFormat="1" applyFont="1" applyBorder="1" applyAlignment="1" applyProtection="1">
      <alignment horizontal="center" vertical="center" wrapText="1"/>
      <protection locked="0"/>
    </xf>
    <xf numFmtId="0" fontId="5" fillId="0" borderId="1" xfId="4" applyBorder="1" applyAlignment="1" applyProtection="1">
      <alignment horizontal="left" vertical="center" wrapText="1"/>
      <protection locked="0"/>
    </xf>
    <xf numFmtId="0" fontId="5" fillId="0" borderId="1" xfId="4" applyBorder="1" applyAlignment="1" applyProtection="1">
      <alignment horizontal="center" vertical="center" wrapText="1"/>
      <protection locked="0"/>
    </xf>
    <xf numFmtId="0" fontId="7" fillId="0" borderId="1" xfId="4" applyFont="1" applyBorder="1" applyAlignment="1" applyProtection="1">
      <alignment horizontal="center" vertical="center" wrapText="1"/>
      <protection locked="0"/>
    </xf>
    <xf numFmtId="176" fontId="7" fillId="0" borderId="1" xfId="4" applyNumberFormat="1" applyFont="1" applyBorder="1" applyAlignment="1" applyProtection="1">
      <alignment horizontal="center" vertical="center" wrapText="1"/>
      <protection locked="0"/>
    </xf>
    <xf numFmtId="9" fontId="7" fillId="0" borderId="1" xfId="4" applyNumberFormat="1" applyFont="1" applyBorder="1" applyAlignment="1" applyProtection="1">
      <alignment horizontal="center" vertical="center" wrapText="1"/>
      <protection locked="0"/>
    </xf>
    <xf numFmtId="0" fontId="7" fillId="0" borderId="1" xfId="4" applyFont="1" applyBorder="1" applyAlignment="1" applyProtection="1">
      <alignment horizontal="left" vertical="center" wrapText="1"/>
      <protection locked="0"/>
    </xf>
    <xf numFmtId="176" fontId="5" fillId="0" borderId="1" xfId="4" applyNumberFormat="1" applyBorder="1" applyAlignment="1" applyProtection="1">
      <alignment horizontal="center" vertical="center" wrapText="1"/>
      <protection locked="0"/>
    </xf>
    <xf numFmtId="176" fontId="7" fillId="0" borderId="1" xfId="1" applyNumberFormat="1" applyFont="1" applyBorder="1" applyAlignment="1" applyProtection="1">
      <alignment horizontal="center" vertical="center" wrapText="1"/>
      <protection locked="0"/>
    </xf>
    <xf numFmtId="176" fontId="2" fillId="0" borderId="1" xfId="1" applyNumberFormat="1" applyFont="1" applyBorder="1" applyAlignment="1" applyProtection="1">
      <alignment horizontal="left" vertical="center" wrapText="1"/>
      <protection locked="0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</cellXfs>
  <cellStyles count="6">
    <cellStyle name="_ET_STYLE_NoName_00_" xfId="1" xr:uid="{00000000-0005-0000-0000-000031000000}"/>
    <cellStyle name="常规" xfId="0" builtinId="0"/>
    <cellStyle name="常规 19" xfId="3" xr:uid="{00000000-0005-0000-0000-000033000000}"/>
    <cellStyle name="常规_结(新）" xfId="4" xr:uid="{00000000-0005-0000-0000-000034000000}"/>
    <cellStyle name="常规_金中环BCE型房、办公室2" xfId="5" xr:uid="{00000000-0005-0000-0000-000035000000}"/>
    <cellStyle name="常规_上海静安广场安装改造" xfId="2" xr:uid="{00000000-0005-0000-0000-000032000000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"/>
  <sheetViews>
    <sheetView workbookViewId="0"/>
  </sheetViews>
  <sheetFormatPr defaultColWidth="9" defaultRowHeight="14.25" customHeight="1"/>
  <sheetData/>
  <sheetProtection formatCells="0" formatColumns="0" formatRows="0" insertColumns="0" insertRows="0" insertHyperlinks="0" deleteColumns="0" deleteRows="0" sort="0" autoFilter="0" pivotTables="0"/>
  <phoneticPr fontId="2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abSelected="1" workbookViewId="0">
      <selection activeCell="B3" sqref="B3:F3"/>
    </sheetView>
  </sheetViews>
  <sheetFormatPr defaultColWidth="8.75" defaultRowHeight="15.75"/>
  <cols>
    <col min="2" max="2" width="14.125" customWidth="1"/>
    <col min="3" max="3" width="22.5" customWidth="1"/>
    <col min="8" max="8" width="14.125" customWidth="1"/>
  </cols>
  <sheetData>
    <row r="1" spans="1:10" ht="111" customHeight="1">
      <c r="A1" s="82" t="s">
        <v>324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24.95" customHeight="1">
      <c r="A2" s="77"/>
      <c r="B2" s="77" t="s">
        <v>325</v>
      </c>
      <c r="C2" s="77"/>
      <c r="D2" s="77"/>
      <c r="E2" s="77"/>
      <c r="F2" s="77"/>
      <c r="G2" s="22"/>
    </row>
    <row r="3" spans="1:10" ht="24.95" customHeight="1">
      <c r="A3" s="77"/>
      <c r="B3" s="83"/>
      <c r="C3" s="84"/>
      <c r="D3" s="83"/>
      <c r="E3" s="83"/>
      <c r="F3" s="83"/>
      <c r="G3" s="22"/>
    </row>
    <row r="4" spans="1:10" ht="24.95" customHeight="1">
      <c r="A4" s="77"/>
      <c r="B4" s="83"/>
      <c r="C4" s="84"/>
      <c r="D4" s="83"/>
      <c r="E4" s="83"/>
      <c r="F4" s="83"/>
      <c r="G4" s="22"/>
    </row>
    <row r="5" spans="1:10" ht="24.95" customHeight="1">
      <c r="A5" s="77"/>
      <c r="B5" s="83" t="s">
        <v>0</v>
      </c>
      <c r="C5" s="84"/>
      <c r="D5" s="83"/>
      <c r="E5" s="83"/>
      <c r="F5" s="83"/>
      <c r="G5" s="22"/>
    </row>
    <row r="6" spans="1:10" ht="24.95" customHeight="1">
      <c r="A6" s="77"/>
      <c r="B6" s="85"/>
      <c r="C6" s="85"/>
      <c r="D6" s="85"/>
      <c r="E6" s="85"/>
      <c r="F6" s="85"/>
      <c r="G6" s="85"/>
      <c r="H6" s="85"/>
      <c r="I6" s="85"/>
    </row>
    <row r="7" spans="1:10" ht="24.95" customHeight="1">
      <c r="A7" s="77"/>
      <c r="B7" s="83" t="s">
        <v>1</v>
      </c>
      <c r="C7" s="84"/>
      <c r="D7" s="83"/>
      <c r="E7" s="83"/>
      <c r="F7" s="83"/>
      <c r="G7" s="22"/>
    </row>
    <row r="8" spans="1:10" ht="24.95" customHeight="1">
      <c r="A8" s="77"/>
      <c r="B8" s="85"/>
      <c r="C8" s="85"/>
      <c r="D8" s="85"/>
      <c r="E8" s="85"/>
      <c r="F8" s="85"/>
      <c r="G8" s="85"/>
      <c r="H8" s="85"/>
      <c r="I8" s="85"/>
    </row>
    <row r="9" spans="1:10" ht="24.95" customHeight="1">
      <c r="A9" s="77"/>
      <c r="B9" s="77" t="s">
        <v>2</v>
      </c>
      <c r="C9" s="85" t="s">
        <v>3</v>
      </c>
      <c r="D9" s="85"/>
      <c r="E9" s="85"/>
      <c r="F9" s="85"/>
      <c r="G9" s="22"/>
    </row>
    <row r="10" spans="1:10" ht="24.95" customHeight="1">
      <c r="A10" s="77"/>
      <c r="B10" s="77"/>
      <c r="C10" s="80"/>
      <c r="D10" s="78"/>
      <c r="E10" s="77"/>
      <c r="F10" s="77"/>
      <c r="G10" s="22"/>
    </row>
    <row r="11" spans="1:10" ht="24.95" customHeight="1">
      <c r="A11" s="22"/>
      <c r="B11" s="22"/>
      <c r="C11" s="81"/>
      <c r="D11" s="22"/>
      <c r="E11" s="22"/>
      <c r="F11" s="22"/>
      <c r="G11" s="22"/>
    </row>
    <row r="12" spans="1:10" ht="24.95" customHeight="1">
      <c r="A12" s="22"/>
      <c r="B12" s="22"/>
      <c r="C12" s="78"/>
      <c r="D12" s="85" t="s">
        <v>4</v>
      </c>
      <c r="E12" s="85"/>
      <c r="F12" s="85"/>
      <c r="G12" s="85"/>
      <c r="H12" s="86"/>
      <c r="I12" s="86"/>
    </row>
    <row r="13" spans="1:10" ht="24.95" customHeight="1">
      <c r="A13" s="22"/>
      <c r="B13" s="22"/>
      <c r="C13" s="78"/>
      <c r="D13" s="79"/>
      <c r="E13" s="79"/>
      <c r="F13" s="79"/>
      <c r="G13" s="79"/>
    </row>
    <row r="14" spans="1:10" ht="24.95" customHeight="1">
      <c r="A14" s="22"/>
      <c r="B14" s="22"/>
      <c r="C14" s="78"/>
      <c r="D14" s="85" t="s">
        <v>5</v>
      </c>
      <c r="E14" s="85"/>
      <c r="F14" s="85"/>
      <c r="G14" s="85"/>
      <c r="H14" s="86"/>
      <c r="I14" s="86"/>
    </row>
    <row r="15" spans="1:10" ht="25.9" customHeight="1">
      <c r="A15" s="22"/>
      <c r="B15" s="22"/>
      <c r="C15" s="81"/>
      <c r="D15" s="22"/>
      <c r="E15" s="22"/>
      <c r="F15" s="22"/>
      <c r="G15" s="22"/>
    </row>
    <row r="16" spans="1:10" ht="25.9" customHeight="1">
      <c r="A16" s="22"/>
      <c r="B16" s="22"/>
      <c r="C16" s="81"/>
      <c r="D16" s="22"/>
      <c r="E16" s="22"/>
      <c r="F16" s="22"/>
      <c r="G16" s="22"/>
    </row>
    <row r="17" spans="1:7" ht="25.9" customHeight="1">
      <c r="A17" s="22"/>
      <c r="B17" s="22"/>
      <c r="C17" s="81"/>
      <c r="D17" s="22"/>
      <c r="E17" s="22"/>
      <c r="F17" s="22"/>
      <c r="G17" s="22"/>
    </row>
    <row r="18" spans="1:7">
      <c r="A18" s="22"/>
      <c r="B18" s="22"/>
      <c r="C18" s="81"/>
      <c r="D18" s="22"/>
      <c r="E18" s="22"/>
      <c r="F18" s="22"/>
      <c r="G18" s="22"/>
    </row>
    <row r="19" spans="1:7">
      <c r="A19" s="22"/>
      <c r="B19" s="22"/>
      <c r="C19" s="81"/>
      <c r="D19" s="22"/>
      <c r="E19" s="22"/>
      <c r="F19" s="22"/>
      <c r="G19" s="22"/>
    </row>
    <row r="20" spans="1:7">
      <c r="A20" s="22"/>
      <c r="B20" s="22"/>
      <c r="C20" s="81"/>
      <c r="D20" s="22"/>
      <c r="E20" s="22"/>
      <c r="F20" s="22"/>
      <c r="G20" s="22"/>
    </row>
    <row r="21" spans="1:7">
      <c r="A21" s="22"/>
      <c r="B21" s="22"/>
      <c r="C21" s="81"/>
      <c r="D21" s="22"/>
      <c r="E21" s="22"/>
      <c r="F21" s="22"/>
      <c r="G21" s="22"/>
    </row>
  </sheetData>
  <mergeCells count="12">
    <mergeCell ref="D14:G14"/>
    <mergeCell ref="H14:I14"/>
    <mergeCell ref="B6:I6"/>
    <mergeCell ref="B7:F7"/>
    <mergeCell ref="B8:I8"/>
    <mergeCell ref="C9:F9"/>
    <mergeCell ref="D12:G12"/>
    <mergeCell ref="H12:I12"/>
    <mergeCell ref="A1:J1"/>
    <mergeCell ref="B3:F3"/>
    <mergeCell ref="B4:F4"/>
    <mergeCell ref="B5:F5"/>
  </mergeCells>
  <phoneticPr fontId="23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G52"/>
  <sheetViews>
    <sheetView view="pageBreakPreview" zoomScaleNormal="100" workbookViewId="0">
      <pane ySplit="2" topLeftCell="A51" activePane="bottomLeft" state="frozen"/>
      <selection pane="bottomLeft" activeCell="B52" sqref="B52"/>
    </sheetView>
  </sheetViews>
  <sheetFormatPr defaultColWidth="8.375" defaultRowHeight="15.75" outlineLevelRow="1"/>
  <cols>
    <col min="1" max="1" width="5.875" style="51" customWidth="1"/>
    <col min="2" max="2" width="28.25" style="51" customWidth="1"/>
    <col min="3" max="3" width="7.125" style="51" customWidth="1"/>
    <col min="4" max="4" width="17.5" style="51" customWidth="1"/>
    <col min="5" max="5" width="16.25" style="52" customWidth="1"/>
    <col min="6" max="6" width="23.375" style="51" customWidth="1"/>
    <col min="7" max="7" width="59" style="51" customWidth="1"/>
    <col min="8" max="16384" width="8.375" style="51"/>
  </cols>
  <sheetData>
    <row r="1" spans="1:7" s="46" customFormat="1" ht="20.25">
      <c r="A1" s="89" t="s">
        <v>6</v>
      </c>
      <c r="B1" s="89"/>
      <c r="C1" s="89"/>
      <c r="D1" s="89"/>
      <c r="E1" s="90"/>
      <c r="F1" s="89"/>
    </row>
    <row r="2" spans="1:7" s="46" customFormat="1" ht="31.5">
      <c r="A2" s="53" t="s">
        <v>7</v>
      </c>
      <c r="B2" s="53" t="s">
        <v>8</v>
      </c>
      <c r="C2" s="53" t="s">
        <v>9</v>
      </c>
      <c r="D2" s="54" t="s">
        <v>10</v>
      </c>
      <c r="E2" s="55" t="s">
        <v>11</v>
      </c>
      <c r="F2" s="55" t="s">
        <v>12</v>
      </c>
    </row>
    <row r="3" spans="1:7" s="47" customFormat="1">
      <c r="A3" s="56" t="s">
        <v>13</v>
      </c>
      <c r="B3" s="57" t="s">
        <v>14</v>
      </c>
      <c r="C3" s="58"/>
      <c r="D3" s="59"/>
      <c r="E3" s="60"/>
      <c r="F3" s="56"/>
    </row>
    <row r="4" spans="1:7" s="46" customFormat="1">
      <c r="A4" s="56" t="s">
        <v>15</v>
      </c>
      <c r="B4" s="57" t="s">
        <v>16</v>
      </c>
      <c r="C4" s="61"/>
      <c r="D4" s="62"/>
      <c r="E4" s="55"/>
      <c r="F4" s="63"/>
    </row>
    <row r="5" spans="1:7" s="46" customFormat="1" outlineLevel="1">
      <c r="A5" s="63">
        <v>1</v>
      </c>
      <c r="B5" s="64" t="s">
        <v>17</v>
      </c>
      <c r="C5" s="61" t="s">
        <v>18</v>
      </c>
      <c r="D5" s="62">
        <v>12</v>
      </c>
      <c r="E5" s="55">
        <f>主甲板工程量!I18</f>
        <v>0</v>
      </c>
      <c r="F5" s="63"/>
      <c r="G5" s="51"/>
    </row>
    <row r="6" spans="1:7" s="46" customFormat="1" outlineLevel="1">
      <c r="A6" s="63">
        <v>2</v>
      </c>
      <c r="B6" s="64" t="s">
        <v>19</v>
      </c>
      <c r="C6" s="61" t="s">
        <v>18</v>
      </c>
      <c r="D6" s="62">
        <v>2</v>
      </c>
      <c r="E6" s="55">
        <f>主甲板工程量!I32</f>
        <v>0</v>
      </c>
      <c r="F6" s="63"/>
      <c r="G6" s="51"/>
    </row>
    <row r="7" spans="1:7" s="46" customFormat="1" outlineLevel="1">
      <c r="A7" s="63">
        <v>3</v>
      </c>
      <c r="B7" s="64" t="s">
        <v>20</v>
      </c>
      <c r="C7" s="61" t="s">
        <v>18</v>
      </c>
      <c r="D7" s="62">
        <v>1</v>
      </c>
      <c r="E7" s="55">
        <f>主甲板工程量!I45</f>
        <v>0</v>
      </c>
      <c r="F7" s="63"/>
      <c r="G7" s="51"/>
    </row>
    <row r="8" spans="1:7" s="46" customFormat="1" outlineLevel="1">
      <c r="A8" s="63">
        <v>4</v>
      </c>
      <c r="B8" s="64" t="s">
        <v>21</v>
      </c>
      <c r="C8" s="61" t="s">
        <v>18</v>
      </c>
      <c r="D8" s="62">
        <v>23</v>
      </c>
      <c r="E8" s="55">
        <f>主甲板工程量!I56</f>
        <v>0</v>
      </c>
      <c r="F8" s="63"/>
      <c r="G8" s="51"/>
    </row>
    <row r="9" spans="1:7" s="46" customFormat="1" outlineLevel="1">
      <c r="A9" s="63">
        <v>3</v>
      </c>
      <c r="B9" s="64" t="s">
        <v>22</v>
      </c>
      <c r="C9" s="61" t="s">
        <v>18</v>
      </c>
      <c r="D9" s="62">
        <v>1</v>
      </c>
      <c r="E9" s="55">
        <f>主甲板工程量!I67</f>
        <v>0</v>
      </c>
      <c r="F9" s="63"/>
      <c r="G9" s="51"/>
    </row>
    <row r="10" spans="1:7" s="46" customFormat="1" outlineLevel="1">
      <c r="A10" s="63">
        <v>4</v>
      </c>
      <c r="B10" s="64" t="s">
        <v>23</v>
      </c>
      <c r="C10" s="61" t="s">
        <v>18</v>
      </c>
      <c r="D10" s="62">
        <v>4</v>
      </c>
      <c r="E10" s="55">
        <f>主甲板工程量!I78</f>
        <v>0</v>
      </c>
      <c r="F10" s="63"/>
      <c r="G10" s="51"/>
    </row>
    <row r="11" spans="1:7" s="46" customFormat="1" outlineLevel="1">
      <c r="A11" s="63">
        <v>4</v>
      </c>
      <c r="B11" s="64" t="s">
        <v>24</v>
      </c>
      <c r="C11" s="61" t="s">
        <v>18</v>
      </c>
      <c r="D11" s="62">
        <v>5</v>
      </c>
      <c r="E11" s="55">
        <f>主甲板工程量!I89</f>
        <v>0</v>
      </c>
      <c r="F11" s="63"/>
      <c r="G11" s="51"/>
    </row>
    <row r="12" spans="1:7" s="46" customFormat="1" outlineLevel="1">
      <c r="A12" s="63">
        <v>8</v>
      </c>
      <c r="B12" s="64" t="s">
        <v>25</v>
      </c>
      <c r="C12" s="61" t="s">
        <v>18</v>
      </c>
      <c r="D12" s="62">
        <v>1</v>
      </c>
      <c r="E12" s="55">
        <f>主甲板工程量!I101</f>
        <v>0</v>
      </c>
      <c r="F12" s="63"/>
      <c r="G12" s="51"/>
    </row>
    <row r="13" spans="1:7" s="46" customFormat="1" outlineLevel="1">
      <c r="A13" s="63">
        <v>9</v>
      </c>
      <c r="B13" s="64" t="s">
        <v>26</v>
      </c>
      <c r="C13" s="61" t="s">
        <v>18</v>
      </c>
      <c r="D13" s="62">
        <v>1</v>
      </c>
      <c r="E13" s="55">
        <f>主甲板工程量!I112</f>
        <v>0</v>
      </c>
      <c r="F13" s="63"/>
      <c r="G13" s="51"/>
    </row>
    <row r="14" spans="1:7" s="46" customFormat="1" outlineLevel="1">
      <c r="A14" s="63">
        <v>10</v>
      </c>
      <c r="B14" s="64" t="s">
        <v>27</v>
      </c>
      <c r="C14" s="61" t="s">
        <v>18</v>
      </c>
      <c r="D14" s="62">
        <v>1</v>
      </c>
      <c r="E14" s="55">
        <f>主甲板工程量!I123</f>
        <v>0</v>
      </c>
      <c r="F14" s="63"/>
      <c r="G14" s="51"/>
    </row>
    <row r="15" spans="1:7" s="46" customFormat="1" outlineLevel="1">
      <c r="A15" s="63">
        <v>11</v>
      </c>
      <c r="B15" s="64" t="s">
        <v>28</v>
      </c>
      <c r="C15" s="61" t="s">
        <v>18</v>
      </c>
      <c r="D15" s="62">
        <v>1</v>
      </c>
      <c r="E15" s="55">
        <f>主甲板工程量!I142</f>
        <v>0</v>
      </c>
      <c r="F15" s="63"/>
      <c r="G15" s="51"/>
    </row>
    <row r="16" spans="1:7" s="46" customFormat="1" outlineLevel="1">
      <c r="A16" s="63">
        <v>12</v>
      </c>
      <c r="B16" s="64" t="s">
        <v>29</v>
      </c>
      <c r="C16" s="61" t="s">
        <v>18</v>
      </c>
      <c r="D16" s="62">
        <v>1</v>
      </c>
      <c r="E16" s="55">
        <f>主甲板工程量!I165</f>
        <v>0</v>
      </c>
      <c r="F16" s="63"/>
      <c r="G16" s="51"/>
    </row>
    <row r="17" spans="1:7" s="46" customFormat="1" outlineLevel="1">
      <c r="A17" s="63">
        <v>12</v>
      </c>
      <c r="B17" s="64" t="s">
        <v>30</v>
      </c>
      <c r="C17" s="61" t="s">
        <v>18</v>
      </c>
      <c r="D17" s="62">
        <v>1</v>
      </c>
      <c r="E17" s="55">
        <f>主甲板工程量!I188</f>
        <v>0</v>
      </c>
      <c r="F17" s="63"/>
      <c r="G17" s="51"/>
    </row>
    <row r="18" spans="1:7" s="46" customFormat="1" outlineLevel="1">
      <c r="A18" s="63">
        <v>14</v>
      </c>
      <c r="B18" s="64" t="s">
        <v>31</v>
      </c>
      <c r="C18" s="61" t="s">
        <v>18</v>
      </c>
      <c r="D18" s="62">
        <v>1</v>
      </c>
      <c r="E18" s="55">
        <f>主甲板工程量!I208</f>
        <v>0</v>
      </c>
      <c r="F18" s="63"/>
      <c r="G18" s="51"/>
    </row>
    <row r="19" spans="1:7" s="46" customFormat="1" outlineLevel="1">
      <c r="A19" s="63">
        <v>15</v>
      </c>
      <c r="B19" s="64" t="s">
        <v>32</v>
      </c>
      <c r="C19" s="61" t="s">
        <v>18</v>
      </c>
      <c r="D19" s="62">
        <v>1</v>
      </c>
      <c r="E19" s="55">
        <f>主甲板工程量!I224</f>
        <v>0</v>
      </c>
      <c r="F19" s="63"/>
      <c r="G19" s="51"/>
    </row>
    <row r="20" spans="1:7" s="46" customFormat="1" outlineLevel="1">
      <c r="A20" s="63">
        <v>16</v>
      </c>
      <c r="B20" s="64" t="s">
        <v>33</v>
      </c>
      <c r="C20" s="61" t="s">
        <v>18</v>
      </c>
      <c r="D20" s="62">
        <v>1</v>
      </c>
      <c r="E20" s="55">
        <f>主甲板工程量!I243</f>
        <v>0</v>
      </c>
      <c r="F20" s="63"/>
      <c r="G20" s="51"/>
    </row>
    <row r="21" spans="1:7" s="46" customFormat="1" outlineLevel="1">
      <c r="A21" s="63">
        <v>17</v>
      </c>
      <c r="B21" s="64" t="s">
        <v>34</v>
      </c>
      <c r="C21" s="61" t="s">
        <v>18</v>
      </c>
      <c r="D21" s="62">
        <v>1</v>
      </c>
      <c r="E21" s="55">
        <f>主甲板工程量!I254</f>
        <v>0</v>
      </c>
      <c r="F21" s="63"/>
      <c r="G21" s="51"/>
    </row>
    <row r="22" spans="1:7" s="46" customFormat="1" outlineLevel="1">
      <c r="A22" s="63">
        <v>18</v>
      </c>
      <c r="B22" s="64" t="s">
        <v>35</v>
      </c>
      <c r="C22" s="61" t="s">
        <v>18</v>
      </c>
      <c r="D22" s="62">
        <v>1</v>
      </c>
      <c r="E22" s="55">
        <f>主甲板工程量!I266</f>
        <v>0</v>
      </c>
      <c r="F22" s="65"/>
      <c r="G22" s="51"/>
    </row>
    <row r="23" spans="1:7" s="46" customFormat="1" outlineLevel="1">
      <c r="A23" s="63">
        <v>19</v>
      </c>
      <c r="B23" s="64" t="s">
        <v>36</v>
      </c>
      <c r="C23" s="61" t="s">
        <v>18</v>
      </c>
      <c r="D23" s="62">
        <v>1</v>
      </c>
      <c r="E23" s="55">
        <f>主甲板工程量!I278</f>
        <v>0</v>
      </c>
      <c r="F23" s="66"/>
      <c r="G23" s="51"/>
    </row>
    <row r="24" spans="1:7" s="48" customFormat="1">
      <c r="A24" s="91" t="s">
        <v>37</v>
      </c>
      <c r="B24" s="92"/>
      <c r="C24" s="92"/>
      <c r="D24" s="92"/>
      <c r="E24" s="67">
        <f>SUM(E5:E23)</f>
        <v>0</v>
      </c>
      <c r="F24" s="68"/>
    </row>
    <row r="25" spans="1:7">
      <c r="A25" s="56" t="s">
        <v>38</v>
      </c>
      <c r="B25" s="69" t="s">
        <v>39</v>
      </c>
      <c r="C25" s="61"/>
      <c r="D25" s="62"/>
      <c r="E25" s="55"/>
      <c r="F25" s="63"/>
    </row>
    <row r="26" spans="1:7" outlineLevel="1">
      <c r="A26" s="63">
        <v>1</v>
      </c>
      <c r="B26" s="70" t="s">
        <v>40</v>
      </c>
      <c r="C26" s="61" t="s">
        <v>18</v>
      </c>
      <c r="D26" s="62">
        <v>1</v>
      </c>
      <c r="E26" s="55">
        <f>舱内工程量!I20</f>
        <v>0</v>
      </c>
      <c r="F26" s="63"/>
    </row>
    <row r="27" spans="1:7" outlineLevel="1">
      <c r="A27" s="63">
        <v>2</v>
      </c>
      <c r="B27" s="70" t="s">
        <v>41</v>
      </c>
      <c r="C27" s="61" t="s">
        <v>18</v>
      </c>
      <c r="D27" s="62">
        <v>1</v>
      </c>
      <c r="E27" s="55">
        <f>舱内工程量!I31</f>
        <v>0</v>
      </c>
      <c r="F27" s="63"/>
    </row>
    <row r="28" spans="1:7" outlineLevel="1">
      <c r="A28" s="63">
        <v>3</v>
      </c>
      <c r="B28" s="71" t="s">
        <v>42</v>
      </c>
      <c r="C28" s="61" t="s">
        <v>18</v>
      </c>
      <c r="D28" s="62">
        <v>2</v>
      </c>
      <c r="E28" s="55">
        <f>舱内工程量!I41</f>
        <v>0</v>
      </c>
      <c r="F28" s="63"/>
    </row>
    <row r="29" spans="1:7" outlineLevel="1">
      <c r="A29" s="63">
        <v>4</v>
      </c>
      <c r="B29" s="70" t="s">
        <v>43</v>
      </c>
      <c r="C29" s="61" t="s">
        <v>18</v>
      </c>
      <c r="D29" s="62">
        <v>1</v>
      </c>
      <c r="E29" s="55">
        <f>舱内工程量!I54</f>
        <v>0</v>
      </c>
      <c r="F29" s="63"/>
    </row>
    <row r="30" spans="1:7" outlineLevel="1">
      <c r="A30" s="63">
        <v>5</v>
      </c>
      <c r="B30" s="70" t="s">
        <v>44</v>
      </c>
      <c r="C30" s="61" t="s">
        <v>18</v>
      </c>
      <c r="D30" s="62">
        <v>6</v>
      </c>
      <c r="E30" s="55">
        <f>舱内工程量!I69</f>
        <v>0</v>
      </c>
      <c r="F30" s="63"/>
    </row>
    <row r="31" spans="1:7" outlineLevel="1">
      <c r="A31" s="63">
        <v>6</v>
      </c>
      <c r="B31" s="70" t="s">
        <v>45</v>
      </c>
      <c r="C31" s="61" t="s">
        <v>18</v>
      </c>
      <c r="D31" s="62">
        <v>2</v>
      </c>
      <c r="E31" s="55">
        <f>舱内工程量!I81</f>
        <v>0</v>
      </c>
      <c r="F31" s="63"/>
    </row>
    <row r="32" spans="1:7" outlineLevel="1">
      <c r="A32" s="63">
        <v>7</v>
      </c>
      <c r="B32" s="70" t="s">
        <v>46</v>
      </c>
      <c r="C32" s="61" t="s">
        <v>18</v>
      </c>
      <c r="D32" s="62">
        <v>2</v>
      </c>
      <c r="E32" s="55">
        <f>舱内工程量!I93</f>
        <v>0</v>
      </c>
      <c r="F32" s="63"/>
    </row>
    <row r="33" spans="1:6" outlineLevel="1">
      <c r="A33" s="63">
        <v>8</v>
      </c>
      <c r="B33" s="70" t="s">
        <v>47</v>
      </c>
      <c r="C33" s="61" t="s">
        <v>18</v>
      </c>
      <c r="D33" s="62">
        <v>1</v>
      </c>
      <c r="E33" s="55">
        <f>舱内工程量!I104</f>
        <v>0</v>
      </c>
      <c r="F33" s="63"/>
    </row>
    <row r="34" spans="1:6" outlineLevel="1">
      <c r="A34" s="63">
        <v>9</v>
      </c>
      <c r="B34" s="70" t="s">
        <v>48</v>
      </c>
      <c r="C34" s="61" t="s">
        <v>18</v>
      </c>
      <c r="D34" s="62">
        <v>1</v>
      </c>
      <c r="E34" s="55">
        <f>舱内工程量!I124</f>
        <v>0</v>
      </c>
      <c r="F34" s="63"/>
    </row>
    <row r="35" spans="1:6" outlineLevel="1">
      <c r="A35" s="63">
        <v>10</v>
      </c>
      <c r="B35" s="70" t="s">
        <v>49</v>
      </c>
      <c r="C35" s="61" t="s">
        <v>18</v>
      </c>
      <c r="D35" s="62">
        <v>1</v>
      </c>
      <c r="E35" s="55">
        <f>舱内工程量!I142</f>
        <v>0</v>
      </c>
      <c r="F35" s="63"/>
    </row>
    <row r="36" spans="1:6" outlineLevel="1">
      <c r="A36" s="63">
        <v>11</v>
      </c>
      <c r="B36" s="70" t="s">
        <v>50</v>
      </c>
      <c r="C36" s="61" t="s">
        <v>18</v>
      </c>
      <c r="D36" s="62">
        <v>1</v>
      </c>
      <c r="E36" s="55">
        <f>舱内工程量!I152</f>
        <v>0</v>
      </c>
      <c r="F36" s="63"/>
    </row>
    <row r="37" spans="1:6" outlineLevel="1">
      <c r="A37" s="63">
        <v>12</v>
      </c>
      <c r="B37" s="70" t="s">
        <v>51</v>
      </c>
      <c r="C37" s="61" t="s">
        <v>18</v>
      </c>
      <c r="D37" s="62">
        <v>1</v>
      </c>
      <c r="E37" s="55">
        <f>舱内工程量!I164</f>
        <v>0</v>
      </c>
      <c r="F37" s="63"/>
    </row>
    <row r="38" spans="1:6" outlineLevel="1">
      <c r="A38" s="63">
        <v>13</v>
      </c>
      <c r="B38" s="70" t="s">
        <v>52</v>
      </c>
      <c r="C38" s="61" t="s">
        <v>18</v>
      </c>
      <c r="D38" s="62">
        <v>1</v>
      </c>
      <c r="E38" s="55">
        <f>舱内工程量!I175</f>
        <v>0</v>
      </c>
      <c r="F38" s="63"/>
    </row>
    <row r="39" spans="1:6" outlineLevel="1">
      <c r="A39" s="63">
        <v>14</v>
      </c>
      <c r="B39" s="70" t="s">
        <v>53</v>
      </c>
      <c r="C39" s="61" t="s">
        <v>18</v>
      </c>
      <c r="D39" s="62">
        <v>1</v>
      </c>
      <c r="E39" s="55">
        <f>舱内工程量!I186</f>
        <v>0</v>
      </c>
      <c r="F39" s="63"/>
    </row>
    <row r="40" spans="1:6" s="48" customFormat="1">
      <c r="A40" s="91" t="s">
        <v>54</v>
      </c>
      <c r="B40" s="92"/>
      <c r="C40" s="92"/>
      <c r="D40" s="92"/>
      <c r="E40" s="67">
        <f>SUM(E26:E39)</f>
        <v>0</v>
      </c>
      <c r="F40" s="68"/>
    </row>
    <row r="41" spans="1:6" s="49" customFormat="1">
      <c r="A41" s="87" t="s">
        <v>55</v>
      </c>
      <c r="B41" s="88"/>
      <c r="C41" s="88"/>
      <c r="D41" s="88"/>
      <c r="E41" s="72">
        <f>E40+E24</f>
        <v>0</v>
      </c>
      <c r="F41" s="73"/>
    </row>
    <row r="42" spans="1:6" s="50" customFormat="1">
      <c r="A42" s="74" t="s">
        <v>56</v>
      </c>
      <c r="B42" s="69" t="s">
        <v>57</v>
      </c>
      <c r="C42" s="56"/>
      <c r="D42" s="56"/>
      <c r="E42" s="60"/>
      <c r="F42" s="57"/>
    </row>
    <row r="43" spans="1:6" ht="94.5">
      <c r="A43" s="75">
        <v>1</v>
      </c>
      <c r="B43" s="70" t="s">
        <v>58</v>
      </c>
      <c r="C43" s="63" t="s">
        <v>59</v>
      </c>
      <c r="D43" s="63">
        <v>1</v>
      </c>
      <c r="E43" s="55">
        <v>0</v>
      </c>
      <c r="F43" s="71" t="s">
        <v>60</v>
      </c>
    </row>
    <row r="44" spans="1:6" ht="63">
      <c r="A44" s="75">
        <v>2</v>
      </c>
      <c r="B44" s="70" t="s">
        <v>61</v>
      </c>
      <c r="C44" s="63" t="s">
        <v>59</v>
      </c>
      <c r="D44" s="63">
        <v>1</v>
      </c>
      <c r="E44" s="55">
        <v>0</v>
      </c>
      <c r="F44" s="71" t="s">
        <v>62</v>
      </c>
    </row>
    <row r="45" spans="1:6" ht="63">
      <c r="A45" s="75">
        <v>3</v>
      </c>
      <c r="B45" s="70" t="s">
        <v>63</v>
      </c>
      <c r="C45" s="63" t="s">
        <v>59</v>
      </c>
      <c r="D45" s="63">
        <v>1</v>
      </c>
      <c r="E45" s="55">
        <v>0</v>
      </c>
      <c r="F45" s="71" t="s">
        <v>64</v>
      </c>
    </row>
    <row r="46" spans="1:6">
      <c r="A46" s="75">
        <v>4</v>
      </c>
      <c r="B46" s="70" t="s">
        <v>65</v>
      </c>
      <c r="C46" s="63" t="s">
        <v>59</v>
      </c>
      <c r="D46" s="63">
        <v>1</v>
      </c>
      <c r="E46" s="55">
        <v>0</v>
      </c>
      <c r="F46" s="63"/>
    </row>
    <row r="47" spans="1:6" s="49" customFormat="1">
      <c r="A47" s="87" t="s">
        <v>66</v>
      </c>
      <c r="B47" s="88"/>
      <c r="C47" s="88"/>
      <c r="D47" s="88"/>
      <c r="E47" s="72">
        <f>SUM(E43:E46)</f>
        <v>0</v>
      </c>
      <c r="F47" s="76"/>
    </row>
    <row r="48" spans="1:6" s="50" customFormat="1">
      <c r="A48" s="74" t="s">
        <v>67</v>
      </c>
      <c r="B48" s="69" t="s">
        <v>68</v>
      </c>
      <c r="C48" s="56"/>
      <c r="D48" s="56"/>
      <c r="E48" s="60"/>
      <c r="F48" s="56"/>
    </row>
    <row r="49" spans="1:6">
      <c r="A49" s="75">
        <v>1</v>
      </c>
      <c r="B49" s="70" t="s">
        <v>69</v>
      </c>
      <c r="C49" s="63" t="s">
        <v>59</v>
      </c>
      <c r="D49" s="63">
        <v>1</v>
      </c>
      <c r="E49" s="55">
        <v>0</v>
      </c>
      <c r="F49" s="63"/>
    </row>
    <row r="50" spans="1:6">
      <c r="A50" s="75">
        <v>2</v>
      </c>
      <c r="B50" s="70" t="s">
        <v>70</v>
      </c>
      <c r="C50" s="63" t="s">
        <v>59</v>
      </c>
      <c r="D50" s="63">
        <v>1</v>
      </c>
      <c r="E50" s="55">
        <v>0</v>
      </c>
      <c r="F50" s="63"/>
    </row>
    <row r="51" spans="1:6" s="49" customFormat="1">
      <c r="A51" s="87" t="s">
        <v>71</v>
      </c>
      <c r="B51" s="88"/>
      <c r="C51" s="88"/>
      <c r="D51" s="88"/>
      <c r="E51" s="72">
        <f>SUM(E49:E50)</f>
        <v>0</v>
      </c>
      <c r="F51" s="76"/>
    </row>
    <row r="52" spans="1:6" s="50" customFormat="1">
      <c r="A52" s="56" t="s">
        <v>72</v>
      </c>
      <c r="B52" s="57" t="s">
        <v>73</v>
      </c>
      <c r="C52" s="56"/>
      <c r="D52" s="56"/>
      <c r="E52" s="60">
        <f>E51+E47+E41</f>
        <v>0</v>
      </c>
      <c r="F52" s="56"/>
    </row>
  </sheetData>
  <sheetProtection formatCells="0" formatColumns="0" formatRows="0" insertColumns="0" insertRows="0" insertHyperlinks="0" deleteColumns="0" deleteRows="0" sort="0" autoFilter="0" pivotTables="0"/>
  <protectedRanges>
    <protectedRange sqref="D3" name="建设单位_2"/>
    <protectedRange sqref="D5 D6 D7 D9" name="建设单位_1_1"/>
  </protectedRanges>
  <mergeCells count="6">
    <mergeCell ref="A51:D51"/>
    <mergeCell ref="A1:F1"/>
    <mergeCell ref="A24:D24"/>
    <mergeCell ref="A40:D40"/>
    <mergeCell ref="A41:D41"/>
    <mergeCell ref="A47:D47"/>
  </mergeCells>
  <phoneticPr fontId="23" type="noConversion"/>
  <printOptions horizontalCentered="1"/>
  <pageMargins left="0.39305555555555599" right="0.39305555555555599" top="0.59027777777777801" bottom="0.59027777777777801" header="0.59027777777777801" footer="0.39305555555555599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J278"/>
  <sheetViews>
    <sheetView view="pageBreakPreview" zoomScale="130" zoomScaleNormal="100" workbookViewId="0">
      <pane ySplit="4" topLeftCell="A271" activePane="bottomLeft" state="frozen"/>
      <selection pane="bottomLeft" activeCell="J237" sqref="J237"/>
    </sheetView>
  </sheetViews>
  <sheetFormatPr defaultColWidth="8.875" defaultRowHeight="12.75" outlineLevelRow="2"/>
  <cols>
    <col min="1" max="1" width="5.75" style="34" customWidth="1"/>
    <col min="2" max="2" width="19.625" style="35" customWidth="1"/>
    <col min="3" max="3" width="5" style="36" customWidth="1"/>
    <col min="4" max="8" width="8.875" style="36"/>
    <col min="9" max="9" width="9.5" style="36"/>
    <col min="10" max="10" width="27.375" style="36" customWidth="1"/>
    <col min="11" max="16384" width="8.875" style="36"/>
  </cols>
  <sheetData>
    <row r="1" spans="1:10" s="28" customFormat="1" ht="20.100000000000001" customHeight="1">
      <c r="A1" s="93" t="s">
        <v>74</v>
      </c>
      <c r="B1" s="94"/>
      <c r="C1" s="93"/>
      <c r="D1" s="95"/>
      <c r="E1" s="95"/>
      <c r="F1" s="95"/>
      <c r="G1" s="95"/>
      <c r="H1" s="95"/>
      <c r="I1" s="95"/>
      <c r="J1" s="93"/>
    </row>
    <row r="2" spans="1:10" s="29" customFormat="1" ht="15" customHeight="1">
      <c r="A2" s="96" t="s">
        <v>75</v>
      </c>
      <c r="B2" s="96"/>
      <c r="C2" s="96"/>
      <c r="D2" s="97"/>
      <c r="E2" s="98"/>
      <c r="F2" s="98"/>
      <c r="G2" s="98"/>
      <c r="H2" s="97"/>
      <c r="I2" s="97"/>
      <c r="J2" s="96"/>
    </row>
    <row r="3" spans="1:10" s="28" customFormat="1">
      <c r="A3" s="43"/>
      <c r="B3" s="99" t="s">
        <v>76</v>
      </c>
      <c r="C3" s="99" t="s">
        <v>77</v>
      </c>
      <c r="D3" s="98" t="s">
        <v>78</v>
      </c>
      <c r="E3" s="98" t="s">
        <v>79</v>
      </c>
      <c r="F3" s="102" t="s">
        <v>80</v>
      </c>
      <c r="G3" s="98" t="s">
        <v>81</v>
      </c>
      <c r="H3" s="104" t="s">
        <v>82</v>
      </c>
      <c r="I3" s="98" t="s">
        <v>83</v>
      </c>
      <c r="J3" s="105" t="s">
        <v>84</v>
      </c>
    </row>
    <row r="4" spans="1:10" s="28" customFormat="1">
      <c r="A4" s="43"/>
      <c r="B4" s="100"/>
      <c r="C4" s="100"/>
      <c r="D4" s="101"/>
      <c r="E4" s="101"/>
      <c r="F4" s="103"/>
      <c r="G4" s="101"/>
      <c r="H4" s="104"/>
      <c r="I4" s="98"/>
      <c r="J4" s="105"/>
    </row>
    <row r="5" spans="1:10" s="30" customFormat="1">
      <c r="A5" s="43" t="s">
        <v>15</v>
      </c>
      <c r="B5" s="38" t="s">
        <v>85</v>
      </c>
      <c r="C5" s="37"/>
      <c r="D5" s="39"/>
      <c r="E5" s="39"/>
      <c r="F5" s="39"/>
      <c r="G5" s="39"/>
      <c r="H5" s="39"/>
      <c r="I5" s="39"/>
      <c r="J5" s="38"/>
    </row>
    <row r="6" spans="1:10" s="31" customFormat="1" outlineLevel="1" collapsed="1">
      <c r="A6" s="40"/>
      <c r="B6" s="41" t="s">
        <v>86</v>
      </c>
      <c r="C6" s="40"/>
      <c r="D6" s="42"/>
      <c r="E6" s="42"/>
      <c r="F6" s="42"/>
      <c r="G6" s="42"/>
      <c r="H6" s="42"/>
      <c r="I6" s="42"/>
      <c r="J6" s="41"/>
    </row>
    <row r="7" spans="1:10" s="31" customFormat="1" ht="63" hidden="1" customHeight="1" outlineLevel="2">
      <c r="A7" s="40">
        <v>1</v>
      </c>
      <c r="B7" s="41" t="s">
        <v>87</v>
      </c>
      <c r="C7" s="40" t="s">
        <v>88</v>
      </c>
      <c r="D7" s="42">
        <f>16.35*12</f>
        <v>196.2</v>
      </c>
      <c r="E7" s="42">
        <v>0</v>
      </c>
      <c r="F7" s="42">
        <v>0</v>
      </c>
      <c r="G7" s="42">
        <v>0</v>
      </c>
      <c r="H7" s="42">
        <f t="shared" ref="H7:H12" si="0">E7+F7+G7</f>
        <v>0</v>
      </c>
      <c r="I7" s="42">
        <f t="shared" ref="I7:I12" si="1">H7*D7</f>
        <v>0</v>
      </c>
      <c r="J7" s="41" t="s">
        <v>89</v>
      </c>
    </row>
    <row r="8" spans="1:10" s="31" customFormat="1" ht="67.5" hidden="1" outlineLevel="2">
      <c r="A8" s="40">
        <v>2</v>
      </c>
      <c r="B8" s="41" t="s">
        <v>90</v>
      </c>
      <c r="C8" s="40" t="s">
        <v>88</v>
      </c>
      <c r="D8" s="42">
        <f>7.62*12</f>
        <v>91.44</v>
      </c>
      <c r="E8" s="42">
        <v>0</v>
      </c>
      <c r="F8" s="42">
        <v>0</v>
      </c>
      <c r="G8" s="42">
        <v>0</v>
      </c>
      <c r="H8" s="42">
        <f t="shared" si="0"/>
        <v>0</v>
      </c>
      <c r="I8" s="42">
        <f t="shared" si="1"/>
        <v>0</v>
      </c>
      <c r="J8" s="41" t="s">
        <v>91</v>
      </c>
    </row>
    <row r="9" spans="1:10" s="31" customFormat="1" ht="67.5" hidden="1" outlineLevel="2">
      <c r="A9" s="40">
        <v>3</v>
      </c>
      <c r="B9" s="41" t="s">
        <v>92</v>
      </c>
      <c r="C9" s="40" t="s">
        <v>88</v>
      </c>
      <c r="D9" s="42">
        <f>4.63*2.25*12</f>
        <v>125.01</v>
      </c>
      <c r="E9" s="42">
        <v>0</v>
      </c>
      <c r="F9" s="42">
        <v>0</v>
      </c>
      <c r="G9" s="42">
        <v>0</v>
      </c>
      <c r="H9" s="42">
        <f t="shared" si="0"/>
        <v>0</v>
      </c>
      <c r="I9" s="42">
        <f t="shared" si="1"/>
        <v>0</v>
      </c>
      <c r="J9" s="41" t="s">
        <v>93</v>
      </c>
    </row>
    <row r="10" spans="1:10" s="31" customFormat="1" ht="56.25" hidden="1" outlineLevel="2">
      <c r="A10" s="40">
        <v>4</v>
      </c>
      <c r="B10" s="41" t="s">
        <v>94</v>
      </c>
      <c r="C10" s="40" t="s">
        <v>95</v>
      </c>
      <c r="D10" s="42">
        <f>20*12</f>
        <v>240</v>
      </c>
      <c r="E10" s="42">
        <v>0</v>
      </c>
      <c r="F10" s="42">
        <v>0</v>
      </c>
      <c r="G10" s="42">
        <v>0</v>
      </c>
      <c r="H10" s="42">
        <f t="shared" si="0"/>
        <v>0</v>
      </c>
      <c r="I10" s="42">
        <f t="shared" si="1"/>
        <v>0</v>
      </c>
      <c r="J10" s="41" t="s">
        <v>96</v>
      </c>
    </row>
    <row r="11" spans="1:10" s="31" customFormat="1" ht="56.25" hidden="1" outlineLevel="2">
      <c r="A11" s="40">
        <v>5</v>
      </c>
      <c r="B11" s="41" t="s">
        <v>97</v>
      </c>
      <c r="C11" s="40" t="s">
        <v>95</v>
      </c>
      <c r="D11" s="42">
        <f>2.85*12</f>
        <v>34.200000000000003</v>
      </c>
      <c r="E11" s="42">
        <v>0</v>
      </c>
      <c r="F11" s="42">
        <v>0</v>
      </c>
      <c r="G11" s="42">
        <v>0</v>
      </c>
      <c r="H11" s="42">
        <f t="shared" si="0"/>
        <v>0</v>
      </c>
      <c r="I11" s="42">
        <f t="shared" si="1"/>
        <v>0</v>
      </c>
      <c r="J11" s="41" t="s">
        <v>98</v>
      </c>
    </row>
    <row r="12" spans="1:10" s="32" customFormat="1" ht="56.25" hidden="1" outlineLevel="2">
      <c r="A12" s="40">
        <v>6</v>
      </c>
      <c r="B12" s="41" t="s">
        <v>99</v>
      </c>
      <c r="C12" s="40" t="s">
        <v>100</v>
      </c>
      <c r="D12" s="42">
        <v>12</v>
      </c>
      <c r="E12" s="42">
        <v>0</v>
      </c>
      <c r="F12" s="42">
        <v>0</v>
      </c>
      <c r="G12" s="42">
        <v>0</v>
      </c>
      <c r="H12" s="42">
        <f t="shared" si="0"/>
        <v>0</v>
      </c>
      <c r="I12" s="42">
        <f t="shared" si="1"/>
        <v>0</v>
      </c>
      <c r="J12" s="41" t="s">
        <v>101</v>
      </c>
    </row>
    <row r="13" spans="1:10" s="31" customFormat="1" outlineLevel="1" collapsed="1">
      <c r="A13" s="40"/>
      <c r="B13" s="41" t="s">
        <v>102</v>
      </c>
      <c r="C13" s="40"/>
      <c r="D13" s="42"/>
      <c r="E13" s="42"/>
      <c r="F13" s="42"/>
      <c r="G13" s="42"/>
      <c r="H13" s="42"/>
      <c r="I13" s="42"/>
      <c r="J13" s="41"/>
    </row>
    <row r="14" spans="1:10" s="33" customFormat="1" ht="67.5" hidden="1" outlineLevel="2">
      <c r="A14" s="43">
        <v>1</v>
      </c>
      <c r="B14" s="41" t="s">
        <v>103</v>
      </c>
      <c r="C14" s="43" t="s">
        <v>104</v>
      </c>
      <c r="D14" s="44">
        <f>18.4*2.2*12</f>
        <v>485.76</v>
      </c>
      <c r="E14" s="42">
        <v>0</v>
      </c>
      <c r="F14" s="42">
        <v>0</v>
      </c>
      <c r="G14" s="42">
        <v>0</v>
      </c>
      <c r="H14" s="42">
        <f>E14+F14+G14</f>
        <v>0</v>
      </c>
      <c r="I14" s="42">
        <f>H14*D14</f>
        <v>0</v>
      </c>
      <c r="J14" s="41" t="s">
        <v>105</v>
      </c>
    </row>
    <row r="15" spans="1:10" s="31" customFormat="1" ht="146.25" hidden="1" outlineLevel="2">
      <c r="A15" s="43">
        <v>2</v>
      </c>
      <c r="B15" s="41" t="s">
        <v>106</v>
      </c>
      <c r="C15" s="43" t="s">
        <v>104</v>
      </c>
      <c r="D15" s="44">
        <f>18.4*2.2*12</f>
        <v>485.76</v>
      </c>
      <c r="E15" s="42">
        <v>0</v>
      </c>
      <c r="F15" s="42">
        <v>0</v>
      </c>
      <c r="G15" s="42">
        <v>0</v>
      </c>
      <c r="H15" s="42">
        <f>E15+F15+G15</f>
        <v>0</v>
      </c>
      <c r="I15" s="42">
        <f>H15*D15</f>
        <v>0</v>
      </c>
      <c r="J15" s="41" t="s">
        <v>107</v>
      </c>
    </row>
    <row r="16" spans="1:10" s="31" customFormat="1" ht="42" hidden="1" customHeight="1" outlineLevel="2">
      <c r="A16" s="43">
        <v>3</v>
      </c>
      <c r="B16" s="41" t="s">
        <v>108</v>
      </c>
      <c r="C16" s="43" t="s">
        <v>104</v>
      </c>
      <c r="D16" s="44">
        <f>2.15*0.6*12</f>
        <v>15.48</v>
      </c>
      <c r="E16" s="42">
        <v>0</v>
      </c>
      <c r="F16" s="42">
        <v>0</v>
      </c>
      <c r="G16" s="42">
        <v>0</v>
      </c>
      <c r="H16" s="42">
        <f>E16+F16+G16</f>
        <v>0</v>
      </c>
      <c r="I16" s="42">
        <f>H16*D16</f>
        <v>0</v>
      </c>
      <c r="J16" s="41" t="s">
        <v>109</v>
      </c>
    </row>
    <row r="17" spans="1:10" s="31" customFormat="1" ht="56.25" hidden="1" outlineLevel="2">
      <c r="A17" s="40">
        <v>4</v>
      </c>
      <c r="B17" s="41" t="s">
        <v>110</v>
      </c>
      <c r="C17" s="40" t="s">
        <v>111</v>
      </c>
      <c r="D17" s="42">
        <f>1*12</f>
        <v>12</v>
      </c>
      <c r="E17" s="42">
        <v>0</v>
      </c>
      <c r="F17" s="42">
        <v>0</v>
      </c>
      <c r="G17" s="42">
        <v>0</v>
      </c>
      <c r="H17" s="42">
        <f>E17+F17+G17</f>
        <v>0</v>
      </c>
      <c r="I17" s="42">
        <f>H17*D17</f>
        <v>0</v>
      </c>
      <c r="J17" s="41" t="s">
        <v>112</v>
      </c>
    </row>
    <row r="18" spans="1:10" s="33" customFormat="1" ht="19.899999999999999" hidden="1" customHeight="1" outlineLevel="2">
      <c r="A18" s="43"/>
      <c r="B18" s="41" t="s">
        <v>113</v>
      </c>
      <c r="C18" s="43"/>
      <c r="D18" s="44"/>
      <c r="E18" s="42"/>
      <c r="F18" s="42"/>
      <c r="G18" s="42"/>
      <c r="H18" s="42"/>
      <c r="I18" s="42">
        <f>SUM(I7:I17)</f>
        <v>0</v>
      </c>
      <c r="J18" s="41"/>
    </row>
    <row r="19" spans="1:10" s="30" customFormat="1" collapsed="1">
      <c r="A19" s="37" t="s">
        <v>38</v>
      </c>
      <c r="B19" s="38" t="s">
        <v>114</v>
      </c>
      <c r="C19" s="37"/>
      <c r="D19" s="39"/>
      <c r="E19" s="39"/>
      <c r="F19" s="39"/>
      <c r="G19" s="39"/>
      <c r="H19" s="39"/>
      <c r="I19" s="39"/>
      <c r="J19" s="38"/>
    </row>
    <row r="20" spans="1:10" s="31" customFormat="1" hidden="1" outlineLevel="1" collapsed="1">
      <c r="A20" s="40"/>
      <c r="B20" s="41" t="s">
        <v>86</v>
      </c>
      <c r="C20" s="40"/>
      <c r="D20" s="42"/>
      <c r="E20" s="42"/>
      <c r="F20" s="42"/>
      <c r="G20" s="42"/>
      <c r="H20" s="42"/>
      <c r="I20" s="42"/>
      <c r="J20" s="41"/>
    </row>
    <row r="21" spans="1:10" s="31" customFormat="1" ht="67.5" hidden="1" outlineLevel="2">
      <c r="A21" s="40">
        <v>1</v>
      </c>
      <c r="B21" s="41" t="s">
        <v>87</v>
      </c>
      <c r="C21" s="40" t="s">
        <v>88</v>
      </c>
      <c r="D21" s="42">
        <f>13.13*2</f>
        <v>26.26</v>
      </c>
      <c r="E21" s="42">
        <v>0</v>
      </c>
      <c r="F21" s="42">
        <v>0</v>
      </c>
      <c r="G21" s="42">
        <v>0</v>
      </c>
      <c r="H21" s="42">
        <f t="shared" ref="H21:H26" si="2">E21+F21+G21</f>
        <v>0</v>
      </c>
      <c r="I21" s="42">
        <f t="shared" ref="I21:I26" si="3">H21*D21</f>
        <v>0</v>
      </c>
      <c r="J21" s="41" t="s">
        <v>89</v>
      </c>
    </row>
    <row r="22" spans="1:10" s="31" customFormat="1" ht="67.5" hidden="1" outlineLevel="2">
      <c r="A22" s="40">
        <v>2</v>
      </c>
      <c r="B22" s="41" t="s">
        <v>90</v>
      </c>
      <c r="C22" s="40" t="s">
        <v>88</v>
      </c>
      <c r="D22" s="42">
        <f>26.26-10.78+2.78</f>
        <v>18.260000000000002</v>
      </c>
      <c r="E22" s="42">
        <v>0</v>
      </c>
      <c r="F22" s="42">
        <v>0</v>
      </c>
      <c r="G22" s="42">
        <v>0</v>
      </c>
      <c r="H22" s="42">
        <f t="shared" si="2"/>
        <v>0</v>
      </c>
      <c r="I22" s="42">
        <f t="shared" si="3"/>
        <v>0</v>
      </c>
      <c r="J22" s="41" t="s">
        <v>115</v>
      </c>
    </row>
    <row r="23" spans="1:10" s="32" customFormat="1" ht="67.5" hidden="1" outlineLevel="2">
      <c r="A23" s="40">
        <v>3</v>
      </c>
      <c r="B23" s="41" t="s">
        <v>92</v>
      </c>
      <c r="C23" s="40" t="s">
        <v>88</v>
      </c>
      <c r="D23" s="42">
        <f>5.39*2</f>
        <v>10.78</v>
      </c>
      <c r="E23" s="42">
        <v>0</v>
      </c>
      <c r="F23" s="42">
        <v>0</v>
      </c>
      <c r="G23" s="42">
        <v>0</v>
      </c>
      <c r="H23" s="42">
        <f t="shared" si="2"/>
        <v>0</v>
      </c>
      <c r="I23" s="42">
        <f t="shared" si="3"/>
        <v>0</v>
      </c>
      <c r="J23" s="41" t="s">
        <v>116</v>
      </c>
    </row>
    <row r="24" spans="1:10" s="31" customFormat="1" ht="56.25" hidden="1" outlineLevel="2">
      <c r="A24" s="40">
        <v>4</v>
      </c>
      <c r="B24" s="41" t="s">
        <v>94</v>
      </c>
      <c r="C24" s="40" t="s">
        <v>95</v>
      </c>
      <c r="D24" s="42">
        <f>18.9*2</f>
        <v>37.799999999999997</v>
      </c>
      <c r="E24" s="42">
        <v>0</v>
      </c>
      <c r="F24" s="42">
        <v>0</v>
      </c>
      <c r="G24" s="42">
        <v>0</v>
      </c>
      <c r="H24" s="42">
        <f t="shared" si="2"/>
        <v>0</v>
      </c>
      <c r="I24" s="42">
        <f t="shared" si="3"/>
        <v>0</v>
      </c>
      <c r="J24" s="41" t="s">
        <v>117</v>
      </c>
    </row>
    <row r="25" spans="1:10" s="31" customFormat="1" ht="56.25" hidden="1" outlineLevel="2">
      <c r="A25" s="40">
        <v>5</v>
      </c>
      <c r="B25" s="41" t="s">
        <v>97</v>
      </c>
      <c r="C25" s="40" t="s">
        <v>95</v>
      </c>
      <c r="D25" s="42">
        <f>1.85*2</f>
        <v>3.7</v>
      </c>
      <c r="E25" s="42">
        <v>0</v>
      </c>
      <c r="F25" s="42">
        <v>0</v>
      </c>
      <c r="G25" s="42">
        <v>0</v>
      </c>
      <c r="H25" s="42">
        <f t="shared" si="2"/>
        <v>0</v>
      </c>
      <c r="I25" s="42">
        <f t="shared" si="3"/>
        <v>0</v>
      </c>
      <c r="J25" s="41" t="s">
        <v>118</v>
      </c>
    </row>
    <row r="26" spans="1:10" s="32" customFormat="1" ht="56.25" hidden="1" outlineLevel="2">
      <c r="A26" s="40">
        <v>6</v>
      </c>
      <c r="B26" s="41" t="s">
        <v>99</v>
      </c>
      <c r="C26" s="40" t="s">
        <v>100</v>
      </c>
      <c r="D26" s="42">
        <v>2</v>
      </c>
      <c r="E26" s="42">
        <v>0</v>
      </c>
      <c r="F26" s="42">
        <v>0</v>
      </c>
      <c r="G26" s="42">
        <v>0</v>
      </c>
      <c r="H26" s="42">
        <f t="shared" si="2"/>
        <v>0</v>
      </c>
      <c r="I26" s="42">
        <f t="shared" si="3"/>
        <v>0</v>
      </c>
      <c r="J26" s="41" t="s">
        <v>101</v>
      </c>
    </row>
    <row r="27" spans="1:10" s="31" customFormat="1" hidden="1" outlineLevel="1" collapsed="1">
      <c r="A27" s="40"/>
      <c r="B27" s="41" t="s">
        <v>102</v>
      </c>
      <c r="C27" s="40"/>
      <c r="D27" s="42"/>
      <c r="E27" s="42"/>
      <c r="F27" s="42"/>
      <c r="G27" s="42"/>
      <c r="H27" s="42"/>
      <c r="I27" s="42"/>
      <c r="J27" s="41"/>
    </row>
    <row r="28" spans="1:10" s="33" customFormat="1" ht="67.5" hidden="1" outlineLevel="2">
      <c r="A28" s="43">
        <v>1</v>
      </c>
      <c r="B28" s="41" t="s">
        <v>103</v>
      </c>
      <c r="C28" s="43" t="s">
        <v>104</v>
      </c>
      <c r="D28" s="44">
        <f>(18.9-0.9-0.7)*2*2.2-0.6*1.7</f>
        <v>75.099999999999994</v>
      </c>
      <c r="E28" s="42">
        <v>0</v>
      </c>
      <c r="F28" s="42">
        <v>0</v>
      </c>
      <c r="G28" s="42">
        <v>0</v>
      </c>
      <c r="H28" s="42">
        <f>E28+F28+G28</f>
        <v>0</v>
      </c>
      <c r="I28" s="42">
        <f>H28*D28</f>
        <v>0</v>
      </c>
      <c r="J28" s="41" t="s">
        <v>105</v>
      </c>
    </row>
    <row r="29" spans="1:10" s="31" customFormat="1" ht="146.25" hidden="1" outlineLevel="2">
      <c r="A29" s="43">
        <v>2</v>
      </c>
      <c r="B29" s="41" t="s">
        <v>106</v>
      </c>
      <c r="C29" s="43" t="s">
        <v>104</v>
      </c>
      <c r="D29" s="44">
        <f>(18.9-0.9-0.7)*2*2.2-0.6*1.7</f>
        <v>75.099999999999994</v>
      </c>
      <c r="E29" s="42">
        <v>0</v>
      </c>
      <c r="F29" s="42">
        <v>0</v>
      </c>
      <c r="G29" s="42">
        <v>0</v>
      </c>
      <c r="H29" s="42">
        <f>E29+F29+G29</f>
        <v>0</v>
      </c>
      <c r="I29" s="42">
        <f>H29*D29</f>
        <v>0</v>
      </c>
      <c r="J29" s="41" t="s">
        <v>119</v>
      </c>
    </row>
    <row r="30" spans="1:10" s="31" customFormat="1" ht="42" hidden="1" customHeight="1" outlineLevel="2">
      <c r="A30" s="43">
        <v>3</v>
      </c>
      <c r="B30" s="41" t="s">
        <v>108</v>
      </c>
      <c r="C30" s="43" t="s">
        <v>104</v>
      </c>
      <c r="D30" s="44">
        <f>2.15*0.6*2</f>
        <v>2.58</v>
      </c>
      <c r="E30" s="42">
        <v>0</v>
      </c>
      <c r="F30" s="42">
        <v>0</v>
      </c>
      <c r="G30" s="42">
        <v>0</v>
      </c>
      <c r="H30" s="42">
        <f>E30+F30+G30</f>
        <v>0</v>
      </c>
      <c r="I30" s="42">
        <f>H30*D30</f>
        <v>0</v>
      </c>
      <c r="J30" s="41" t="s">
        <v>109</v>
      </c>
    </row>
    <row r="31" spans="1:10" s="31" customFormat="1" ht="56.25" hidden="1" outlineLevel="2">
      <c r="A31" s="40">
        <v>4</v>
      </c>
      <c r="B31" s="41" t="s">
        <v>120</v>
      </c>
      <c r="C31" s="40" t="s">
        <v>111</v>
      </c>
      <c r="D31" s="42">
        <v>2</v>
      </c>
      <c r="E31" s="42">
        <v>0</v>
      </c>
      <c r="F31" s="42">
        <v>0</v>
      </c>
      <c r="G31" s="42">
        <v>0</v>
      </c>
      <c r="H31" s="42">
        <f>E31+F31+G31</f>
        <v>0</v>
      </c>
      <c r="I31" s="42">
        <f>H31*D31</f>
        <v>0</v>
      </c>
      <c r="J31" s="41" t="s">
        <v>121</v>
      </c>
    </row>
    <row r="32" spans="1:10" s="33" customFormat="1" ht="19.899999999999999" hidden="1" customHeight="1" outlineLevel="2">
      <c r="A32" s="43"/>
      <c r="B32" s="41" t="s">
        <v>113</v>
      </c>
      <c r="C32" s="43"/>
      <c r="D32" s="44"/>
      <c r="E32" s="42"/>
      <c r="F32" s="42"/>
      <c r="G32" s="42"/>
      <c r="H32" s="42"/>
      <c r="I32" s="42">
        <f>SUM(I21:I31)</f>
        <v>0</v>
      </c>
      <c r="J32" s="41"/>
    </row>
    <row r="33" spans="1:10" s="30" customFormat="1" collapsed="1">
      <c r="A33" s="37" t="s">
        <v>122</v>
      </c>
      <c r="B33" s="38" t="s">
        <v>123</v>
      </c>
      <c r="C33" s="37"/>
      <c r="D33" s="39"/>
      <c r="E33" s="39"/>
      <c r="F33" s="39"/>
      <c r="G33" s="39"/>
      <c r="H33" s="39"/>
      <c r="I33" s="39"/>
      <c r="J33" s="38"/>
    </row>
    <row r="34" spans="1:10" s="31" customFormat="1" hidden="1" outlineLevel="1" collapsed="1">
      <c r="A34" s="40"/>
      <c r="B34" s="41" t="s">
        <v>86</v>
      </c>
      <c r="C34" s="40"/>
      <c r="D34" s="42"/>
      <c r="E34" s="42"/>
      <c r="F34" s="42"/>
      <c r="G34" s="42"/>
      <c r="H34" s="42"/>
      <c r="I34" s="42"/>
      <c r="J34" s="41"/>
    </row>
    <row r="35" spans="1:10" s="31" customFormat="1" ht="67.5" hidden="1" outlineLevel="2">
      <c r="A35" s="40">
        <v>1</v>
      </c>
      <c r="B35" s="41" t="s">
        <v>87</v>
      </c>
      <c r="C35" s="40" t="s">
        <v>88</v>
      </c>
      <c r="D35" s="42">
        <f>12.35*1</f>
        <v>12.35</v>
      </c>
      <c r="E35" s="42">
        <v>0</v>
      </c>
      <c r="F35" s="42">
        <v>0</v>
      </c>
      <c r="G35" s="42">
        <v>0</v>
      </c>
      <c r="H35" s="42">
        <f t="shared" ref="H35:H38" si="4">E35+F35+G35</f>
        <v>0</v>
      </c>
      <c r="I35" s="42">
        <f t="shared" ref="I35:I38" si="5">H35*D35</f>
        <v>0</v>
      </c>
      <c r="J35" s="41" t="s">
        <v>89</v>
      </c>
    </row>
    <row r="36" spans="1:10" s="32" customFormat="1" ht="67.5" hidden="1" outlineLevel="2">
      <c r="A36" s="40">
        <v>2</v>
      </c>
      <c r="B36" s="41" t="s">
        <v>92</v>
      </c>
      <c r="C36" s="40" t="s">
        <v>88</v>
      </c>
      <c r="D36" s="42">
        <f>12.35*1</f>
        <v>12.35</v>
      </c>
      <c r="E36" s="42">
        <v>0</v>
      </c>
      <c r="F36" s="42">
        <v>0</v>
      </c>
      <c r="G36" s="42">
        <v>0</v>
      </c>
      <c r="H36" s="42">
        <f t="shared" si="4"/>
        <v>0</v>
      </c>
      <c r="I36" s="42">
        <f t="shared" si="5"/>
        <v>0</v>
      </c>
      <c r="J36" s="41" t="s">
        <v>116</v>
      </c>
    </row>
    <row r="37" spans="1:10" s="31" customFormat="1" ht="56.25" hidden="1" outlineLevel="2">
      <c r="A37" s="40">
        <v>3</v>
      </c>
      <c r="B37" s="41" t="s">
        <v>94</v>
      </c>
      <c r="C37" s="40" t="s">
        <v>95</v>
      </c>
      <c r="D37" s="42">
        <f>14.5*1</f>
        <v>14.5</v>
      </c>
      <c r="E37" s="42">
        <v>0</v>
      </c>
      <c r="F37" s="42">
        <v>0</v>
      </c>
      <c r="G37" s="42">
        <v>0</v>
      </c>
      <c r="H37" s="42">
        <f t="shared" si="4"/>
        <v>0</v>
      </c>
      <c r="I37" s="42">
        <f t="shared" si="5"/>
        <v>0</v>
      </c>
      <c r="J37" s="41" t="s">
        <v>124</v>
      </c>
    </row>
    <row r="38" spans="1:10" s="32" customFormat="1" ht="56.25" hidden="1" outlineLevel="2">
      <c r="A38" s="40">
        <v>4</v>
      </c>
      <c r="B38" s="41" t="s">
        <v>99</v>
      </c>
      <c r="C38" s="40" t="s">
        <v>100</v>
      </c>
      <c r="D38" s="42">
        <v>1</v>
      </c>
      <c r="E38" s="42">
        <v>0</v>
      </c>
      <c r="F38" s="42">
        <v>0</v>
      </c>
      <c r="G38" s="42">
        <v>0</v>
      </c>
      <c r="H38" s="42">
        <f t="shared" si="4"/>
        <v>0</v>
      </c>
      <c r="I38" s="42">
        <f t="shared" si="5"/>
        <v>0</v>
      </c>
      <c r="J38" s="41" t="s">
        <v>101</v>
      </c>
    </row>
    <row r="39" spans="1:10" s="31" customFormat="1" hidden="1" outlineLevel="1" collapsed="1">
      <c r="A39" s="40"/>
      <c r="B39" s="41" t="s">
        <v>102</v>
      </c>
      <c r="C39" s="40"/>
      <c r="D39" s="42"/>
      <c r="E39" s="42"/>
      <c r="F39" s="42"/>
      <c r="G39" s="42"/>
      <c r="H39" s="42"/>
      <c r="I39" s="42"/>
      <c r="J39" s="41"/>
    </row>
    <row r="40" spans="1:10" s="33" customFormat="1" ht="67.5" hidden="1" outlineLevel="2">
      <c r="A40" s="43">
        <v>1</v>
      </c>
      <c r="B40" s="41" t="s">
        <v>103</v>
      </c>
      <c r="C40" s="43" t="s">
        <v>104</v>
      </c>
      <c r="D40" s="44">
        <f>31.5*1</f>
        <v>31.5</v>
      </c>
      <c r="E40" s="42">
        <v>0</v>
      </c>
      <c r="F40" s="42">
        <v>0</v>
      </c>
      <c r="G40" s="42">
        <v>0</v>
      </c>
      <c r="H40" s="42">
        <f>E40+F40+G40</f>
        <v>0</v>
      </c>
      <c r="I40" s="42">
        <f>H40*D40</f>
        <v>0</v>
      </c>
      <c r="J40" s="41" t="s">
        <v>105</v>
      </c>
    </row>
    <row r="41" spans="1:10" s="31" customFormat="1" ht="135" hidden="1" outlineLevel="2">
      <c r="A41" s="43">
        <v>2</v>
      </c>
      <c r="B41" s="41" t="s">
        <v>125</v>
      </c>
      <c r="C41" s="43" t="s">
        <v>104</v>
      </c>
      <c r="D41" s="44">
        <f>D40</f>
        <v>31.5</v>
      </c>
      <c r="E41" s="42">
        <v>0</v>
      </c>
      <c r="F41" s="42">
        <v>0</v>
      </c>
      <c r="G41" s="42">
        <v>0</v>
      </c>
      <c r="H41" s="42">
        <f>E41+F41+G41</f>
        <v>0</v>
      </c>
      <c r="I41" s="42">
        <f>H41*D41</f>
        <v>0</v>
      </c>
      <c r="J41" s="41" t="s">
        <v>126</v>
      </c>
    </row>
    <row r="42" spans="1:10" s="31" customFormat="1" ht="56.25" hidden="1" outlineLevel="2">
      <c r="A42" s="40">
        <v>3</v>
      </c>
      <c r="B42" s="41" t="s">
        <v>127</v>
      </c>
      <c r="C42" s="43" t="s">
        <v>104</v>
      </c>
      <c r="D42" s="42">
        <f>3.3*2.35*1</f>
        <v>7.76</v>
      </c>
      <c r="E42" s="42">
        <v>0</v>
      </c>
      <c r="F42" s="42">
        <v>0</v>
      </c>
      <c r="G42" s="42">
        <v>0</v>
      </c>
      <c r="H42" s="42">
        <f>E42+F42+G42</f>
        <v>0</v>
      </c>
      <c r="I42" s="42">
        <f>H42*D42</f>
        <v>0</v>
      </c>
      <c r="J42" s="41" t="s">
        <v>128</v>
      </c>
    </row>
    <row r="43" spans="1:10" s="31" customFormat="1" ht="33.75" hidden="1" outlineLevel="2">
      <c r="A43" s="43">
        <v>4</v>
      </c>
      <c r="B43" s="41" t="s">
        <v>129</v>
      </c>
      <c r="C43" s="43" t="s">
        <v>104</v>
      </c>
      <c r="D43" s="42">
        <f>2.65*1</f>
        <v>2.65</v>
      </c>
      <c r="E43" s="42">
        <v>0</v>
      </c>
      <c r="F43" s="42">
        <v>0</v>
      </c>
      <c r="G43" s="42">
        <v>0</v>
      </c>
      <c r="H43" s="42">
        <f>E43+F43+G43</f>
        <v>0</v>
      </c>
      <c r="I43" s="42">
        <f>H43*D43</f>
        <v>0</v>
      </c>
      <c r="J43" s="41" t="s">
        <v>130</v>
      </c>
    </row>
    <row r="44" spans="1:10" s="31" customFormat="1" ht="56.25" hidden="1" outlineLevel="2">
      <c r="A44" s="40">
        <v>5</v>
      </c>
      <c r="B44" s="41" t="s">
        <v>120</v>
      </c>
      <c r="C44" s="40" t="s">
        <v>111</v>
      </c>
      <c r="D44" s="42">
        <v>1</v>
      </c>
      <c r="E44" s="42">
        <v>0</v>
      </c>
      <c r="F44" s="42">
        <v>0</v>
      </c>
      <c r="G44" s="42">
        <v>0</v>
      </c>
      <c r="H44" s="42">
        <f>E44+F44+G44</f>
        <v>0</v>
      </c>
      <c r="I44" s="42">
        <f>H44*D44</f>
        <v>0</v>
      </c>
      <c r="J44" s="41" t="s">
        <v>131</v>
      </c>
    </row>
    <row r="45" spans="1:10" s="33" customFormat="1" ht="19.899999999999999" hidden="1" customHeight="1" outlineLevel="2">
      <c r="A45" s="43"/>
      <c r="B45" s="41" t="s">
        <v>113</v>
      </c>
      <c r="C45" s="43"/>
      <c r="D45" s="44"/>
      <c r="E45" s="42"/>
      <c r="F45" s="42"/>
      <c r="G45" s="42"/>
      <c r="H45" s="42"/>
      <c r="I45" s="42">
        <f>SUM(I35:I44)</f>
        <v>0</v>
      </c>
      <c r="J45" s="41"/>
    </row>
    <row r="46" spans="1:10" s="30" customFormat="1" collapsed="1">
      <c r="A46" s="37" t="s">
        <v>132</v>
      </c>
      <c r="B46" s="38" t="s">
        <v>133</v>
      </c>
      <c r="C46" s="37"/>
      <c r="D46" s="39"/>
      <c r="E46" s="39"/>
      <c r="F46" s="39"/>
      <c r="G46" s="39"/>
      <c r="H46" s="39"/>
      <c r="I46" s="39"/>
      <c r="J46" s="38"/>
    </row>
    <row r="47" spans="1:10" s="31" customFormat="1" hidden="1" outlineLevel="1" collapsed="1">
      <c r="A47" s="40"/>
      <c r="B47" s="41" t="s">
        <v>86</v>
      </c>
      <c r="C47" s="40"/>
      <c r="D47" s="42"/>
      <c r="E47" s="42"/>
      <c r="F47" s="42"/>
      <c r="G47" s="42"/>
      <c r="H47" s="42"/>
      <c r="I47" s="42"/>
      <c r="J47" s="41"/>
    </row>
    <row r="48" spans="1:10" s="31" customFormat="1" ht="67.5" hidden="1" outlineLevel="2">
      <c r="A48" s="40">
        <v>1</v>
      </c>
      <c r="B48" s="41" t="s">
        <v>87</v>
      </c>
      <c r="C48" s="40" t="s">
        <v>88</v>
      </c>
      <c r="D48" s="42">
        <f>16.35*23</f>
        <v>376.05</v>
      </c>
      <c r="E48" s="42">
        <v>0</v>
      </c>
      <c r="F48" s="42">
        <v>0</v>
      </c>
      <c r="G48" s="42">
        <v>0</v>
      </c>
      <c r="H48" s="42">
        <f>E48+F48+G48</f>
        <v>0</v>
      </c>
      <c r="I48" s="42">
        <f t="shared" ref="I48:I51" si="6">H48*D48</f>
        <v>0</v>
      </c>
      <c r="J48" s="41" t="s">
        <v>89</v>
      </c>
    </row>
    <row r="49" spans="1:10" s="31" customFormat="1" ht="67.5" hidden="1" outlineLevel="2">
      <c r="A49" s="40">
        <v>2</v>
      </c>
      <c r="B49" s="41" t="s">
        <v>134</v>
      </c>
      <c r="C49" s="40" t="s">
        <v>88</v>
      </c>
      <c r="D49" s="42">
        <f>16.35*23</f>
        <v>376.05</v>
      </c>
      <c r="E49" s="42">
        <v>0</v>
      </c>
      <c r="F49" s="42">
        <v>0</v>
      </c>
      <c r="G49" s="42">
        <v>0</v>
      </c>
      <c r="H49" s="42">
        <f>E49+F49+G49</f>
        <v>0</v>
      </c>
      <c r="I49" s="42">
        <f t="shared" si="6"/>
        <v>0</v>
      </c>
      <c r="J49" s="41" t="s">
        <v>135</v>
      </c>
    </row>
    <row r="50" spans="1:10" s="31" customFormat="1" ht="56.25" hidden="1" outlineLevel="2">
      <c r="A50" s="40">
        <v>3</v>
      </c>
      <c r="B50" s="41" t="s">
        <v>94</v>
      </c>
      <c r="C50" s="40" t="s">
        <v>95</v>
      </c>
      <c r="D50" s="42">
        <f>20*23</f>
        <v>460</v>
      </c>
      <c r="E50" s="42">
        <v>0</v>
      </c>
      <c r="F50" s="42">
        <v>0</v>
      </c>
      <c r="G50" s="42">
        <v>0</v>
      </c>
      <c r="H50" s="42">
        <f>E50+F50+G50</f>
        <v>0</v>
      </c>
      <c r="I50" s="42">
        <f t="shared" si="6"/>
        <v>0</v>
      </c>
      <c r="J50" s="41" t="s">
        <v>136</v>
      </c>
    </row>
    <row r="51" spans="1:10" s="32" customFormat="1" ht="56.25" hidden="1" outlineLevel="2">
      <c r="A51" s="40">
        <v>4</v>
      </c>
      <c r="B51" s="41" t="s">
        <v>99</v>
      </c>
      <c r="C51" s="40" t="s">
        <v>100</v>
      </c>
      <c r="D51" s="42">
        <v>0</v>
      </c>
      <c r="E51" s="42">
        <v>0</v>
      </c>
      <c r="F51" s="42">
        <v>0</v>
      </c>
      <c r="G51" s="42">
        <v>0</v>
      </c>
      <c r="H51" s="42">
        <f>E51+F51+G51</f>
        <v>0</v>
      </c>
      <c r="I51" s="42">
        <f t="shared" si="6"/>
        <v>0</v>
      </c>
      <c r="J51" s="41" t="s">
        <v>137</v>
      </c>
    </row>
    <row r="52" spans="1:10" s="31" customFormat="1" hidden="1" outlineLevel="1" collapsed="1">
      <c r="A52" s="40"/>
      <c r="B52" s="41" t="s">
        <v>102</v>
      </c>
      <c r="C52" s="40"/>
      <c r="D52" s="42"/>
      <c r="E52" s="42"/>
      <c r="F52" s="42"/>
      <c r="G52" s="42"/>
      <c r="H52" s="42"/>
      <c r="I52" s="42"/>
      <c r="J52" s="41"/>
    </row>
    <row r="53" spans="1:10" s="33" customFormat="1" ht="67.5" hidden="1" outlineLevel="2">
      <c r="A53" s="43">
        <v>1</v>
      </c>
      <c r="B53" s="41" t="s">
        <v>103</v>
      </c>
      <c r="C53" s="43" t="s">
        <v>104</v>
      </c>
      <c r="D53" s="44">
        <f>18.4*2.2*23</f>
        <v>931.04</v>
      </c>
      <c r="E53" s="42">
        <v>0</v>
      </c>
      <c r="F53" s="42">
        <v>0</v>
      </c>
      <c r="G53" s="42">
        <v>0</v>
      </c>
      <c r="H53" s="42">
        <f>E53+F53+G53</f>
        <v>0</v>
      </c>
      <c r="I53" s="42">
        <f>H53*D53</f>
        <v>0</v>
      </c>
      <c r="J53" s="41" t="s">
        <v>105</v>
      </c>
    </row>
    <row r="54" spans="1:10" s="31" customFormat="1" ht="157.5" hidden="1" outlineLevel="2">
      <c r="A54" s="43">
        <v>2</v>
      </c>
      <c r="B54" s="41" t="s">
        <v>106</v>
      </c>
      <c r="C54" s="43" t="s">
        <v>104</v>
      </c>
      <c r="D54" s="44">
        <f>18.4*2.2*23</f>
        <v>931.04</v>
      </c>
      <c r="E54" s="42">
        <v>0</v>
      </c>
      <c r="F54" s="42">
        <v>0</v>
      </c>
      <c r="G54" s="42">
        <v>0</v>
      </c>
      <c r="H54" s="42">
        <f>E54+F54+G54</f>
        <v>0</v>
      </c>
      <c r="I54" s="42">
        <f>H54*D54</f>
        <v>0</v>
      </c>
      <c r="J54" s="41" t="s">
        <v>138</v>
      </c>
    </row>
    <row r="55" spans="1:10" s="31" customFormat="1" ht="56.25" hidden="1" outlineLevel="2">
      <c r="A55" s="40">
        <v>3</v>
      </c>
      <c r="B55" s="41" t="s">
        <v>120</v>
      </c>
      <c r="C55" s="40" t="s">
        <v>111</v>
      </c>
      <c r="D55" s="42">
        <v>23</v>
      </c>
      <c r="E55" s="42">
        <v>0</v>
      </c>
      <c r="F55" s="42">
        <v>0</v>
      </c>
      <c r="G55" s="42">
        <v>0</v>
      </c>
      <c r="H55" s="42">
        <f>E55+F55+G55</f>
        <v>0</v>
      </c>
      <c r="I55" s="42">
        <f>H55*D55</f>
        <v>0</v>
      </c>
      <c r="J55" s="41" t="s">
        <v>139</v>
      </c>
    </row>
    <row r="56" spans="1:10" s="33" customFormat="1" ht="19.899999999999999" hidden="1" customHeight="1" outlineLevel="2">
      <c r="A56" s="43"/>
      <c r="B56" s="41" t="s">
        <v>113</v>
      </c>
      <c r="C56" s="43"/>
      <c r="D56" s="44"/>
      <c r="E56" s="42"/>
      <c r="F56" s="42"/>
      <c r="G56" s="42"/>
      <c r="H56" s="42"/>
      <c r="I56" s="42">
        <f>SUM(I48:I55)</f>
        <v>0</v>
      </c>
      <c r="J56" s="41"/>
    </row>
    <row r="57" spans="1:10" s="30" customFormat="1" collapsed="1">
      <c r="A57" s="37" t="s">
        <v>140</v>
      </c>
      <c r="B57" s="38" t="s">
        <v>141</v>
      </c>
      <c r="C57" s="37"/>
      <c r="D57" s="39"/>
      <c r="E57" s="39"/>
      <c r="F57" s="39"/>
      <c r="G57" s="39"/>
      <c r="H57" s="39"/>
      <c r="I57" s="39"/>
      <c r="J57" s="38"/>
    </row>
    <row r="58" spans="1:10" s="31" customFormat="1" hidden="1" outlineLevel="1" collapsed="1">
      <c r="A58" s="40"/>
      <c r="B58" s="41" t="s">
        <v>86</v>
      </c>
      <c r="C58" s="40"/>
      <c r="D58" s="42"/>
      <c r="E58" s="42"/>
      <c r="F58" s="42"/>
      <c r="G58" s="42"/>
      <c r="H58" s="42"/>
      <c r="I58" s="42"/>
      <c r="J58" s="41"/>
    </row>
    <row r="59" spans="1:10" s="31" customFormat="1" ht="67.5" hidden="1" outlineLevel="2">
      <c r="A59" s="40">
        <v>1</v>
      </c>
      <c r="B59" s="41" t="s">
        <v>87</v>
      </c>
      <c r="C59" s="40" t="s">
        <v>88</v>
      </c>
      <c r="D59" s="42">
        <v>12.35</v>
      </c>
      <c r="E59" s="42">
        <v>0</v>
      </c>
      <c r="F59" s="42">
        <v>0</v>
      </c>
      <c r="G59" s="42">
        <v>0</v>
      </c>
      <c r="H59" s="42">
        <f t="shared" ref="H59:H62" si="7">E59+F59+G59</f>
        <v>0</v>
      </c>
      <c r="I59" s="42">
        <f t="shared" ref="I59:I62" si="8">H59*D59</f>
        <v>0</v>
      </c>
      <c r="J59" s="41" t="s">
        <v>89</v>
      </c>
    </row>
    <row r="60" spans="1:10" s="31" customFormat="1" ht="67.5" hidden="1" outlineLevel="2">
      <c r="A60" s="40">
        <v>2</v>
      </c>
      <c r="B60" s="41" t="s">
        <v>134</v>
      </c>
      <c r="C60" s="40" t="s">
        <v>88</v>
      </c>
      <c r="D60" s="42">
        <v>12.35</v>
      </c>
      <c r="E60" s="42">
        <v>0</v>
      </c>
      <c r="F60" s="42">
        <v>0</v>
      </c>
      <c r="G60" s="42">
        <v>0</v>
      </c>
      <c r="H60" s="42">
        <f t="shared" si="7"/>
        <v>0</v>
      </c>
      <c r="I60" s="42">
        <f t="shared" si="8"/>
        <v>0</v>
      </c>
      <c r="J60" s="41" t="s">
        <v>135</v>
      </c>
    </row>
    <row r="61" spans="1:10" s="31" customFormat="1" ht="56.25" hidden="1" outlineLevel="2">
      <c r="A61" s="40">
        <v>3</v>
      </c>
      <c r="B61" s="41" t="s">
        <v>94</v>
      </c>
      <c r="C61" s="40" t="s">
        <v>95</v>
      </c>
      <c r="D61" s="42">
        <v>14.5</v>
      </c>
      <c r="E61" s="42">
        <v>0</v>
      </c>
      <c r="F61" s="42">
        <v>0</v>
      </c>
      <c r="G61" s="42">
        <v>0</v>
      </c>
      <c r="H61" s="42">
        <f t="shared" si="7"/>
        <v>0</v>
      </c>
      <c r="I61" s="42">
        <f t="shared" si="8"/>
        <v>0</v>
      </c>
      <c r="J61" s="41" t="s">
        <v>136</v>
      </c>
    </row>
    <row r="62" spans="1:10" s="32" customFormat="1" ht="56.25" hidden="1" outlineLevel="2">
      <c r="A62" s="40">
        <v>4</v>
      </c>
      <c r="B62" s="41" t="s">
        <v>99</v>
      </c>
      <c r="C62" s="40" t="s">
        <v>100</v>
      </c>
      <c r="D62" s="42">
        <v>1</v>
      </c>
      <c r="E62" s="42">
        <v>0</v>
      </c>
      <c r="F62" s="42">
        <v>0</v>
      </c>
      <c r="G62" s="42">
        <v>0</v>
      </c>
      <c r="H62" s="42">
        <f t="shared" si="7"/>
        <v>0</v>
      </c>
      <c r="I62" s="42">
        <f t="shared" si="8"/>
        <v>0</v>
      </c>
      <c r="J62" s="41" t="s">
        <v>137</v>
      </c>
    </row>
    <row r="63" spans="1:10" s="31" customFormat="1" hidden="1" outlineLevel="1" collapsed="1">
      <c r="A63" s="40"/>
      <c r="B63" s="41" t="s">
        <v>102</v>
      </c>
      <c r="C63" s="40"/>
      <c r="D63" s="42"/>
      <c r="E63" s="42"/>
      <c r="F63" s="42"/>
      <c r="G63" s="42"/>
      <c r="H63" s="42"/>
      <c r="I63" s="42"/>
      <c r="J63" s="41"/>
    </row>
    <row r="64" spans="1:10" s="33" customFormat="1" ht="67.5" hidden="1" outlineLevel="2">
      <c r="A64" s="43">
        <v>1</v>
      </c>
      <c r="B64" s="41" t="s">
        <v>103</v>
      </c>
      <c r="C64" s="43" t="s">
        <v>104</v>
      </c>
      <c r="D64" s="44">
        <f>14.5*2.2</f>
        <v>31.9</v>
      </c>
      <c r="E64" s="42">
        <v>0</v>
      </c>
      <c r="F64" s="42">
        <v>0</v>
      </c>
      <c r="G64" s="42">
        <v>0</v>
      </c>
      <c r="H64" s="42">
        <f>E64+F64+G64</f>
        <v>0</v>
      </c>
      <c r="I64" s="42">
        <f>H64*D64</f>
        <v>0</v>
      </c>
      <c r="J64" s="41" t="s">
        <v>105</v>
      </c>
    </row>
    <row r="65" spans="1:10" s="31" customFormat="1" ht="146.25" hidden="1" outlineLevel="2">
      <c r="A65" s="43">
        <v>2</v>
      </c>
      <c r="B65" s="41" t="s">
        <v>125</v>
      </c>
      <c r="C65" s="43" t="s">
        <v>104</v>
      </c>
      <c r="D65" s="44">
        <f>14.5*2.2</f>
        <v>31.9</v>
      </c>
      <c r="E65" s="42">
        <v>0</v>
      </c>
      <c r="F65" s="42">
        <v>0</v>
      </c>
      <c r="G65" s="42">
        <v>0</v>
      </c>
      <c r="H65" s="42">
        <f>E65+F65+G65</f>
        <v>0</v>
      </c>
      <c r="I65" s="42">
        <f>H65*D65</f>
        <v>0</v>
      </c>
      <c r="J65" s="41" t="s">
        <v>142</v>
      </c>
    </row>
    <row r="66" spans="1:10" s="31" customFormat="1" ht="56.25" hidden="1" outlineLevel="2">
      <c r="A66" s="40">
        <v>3</v>
      </c>
      <c r="B66" s="41" t="s">
        <v>120</v>
      </c>
      <c r="C66" s="40" t="s">
        <v>111</v>
      </c>
      <c r="D66" s="42">
        <v>1</v>
      </c>
      <c r="E66" s="42">
        <v>0</v>
      </c>
      <c r="F66" s="42">
        <v>0</v>
      </c>
      <c r="G66" s="42">
        <v>0</v>
      </c>
      <c r="H66" s="42">
        <f>E66+F66+G66</f>
        <v>0</v>
      </c>
      <c r="I66" s="42">
        <f>H66*D66</f>
        <v>0</v>
      </c>
      <c r="J66" s="41" t="s">
        <v>131</v>
      </c>
    </row>
    <row r="67" spans="1:10" s="33" customFormat="1" ht="19.899999999999999" hidden="1" customHeight="1" outlineLevel="2">
      <c r="A67" s="43"/>
      <c r="B67" s="41" t="s">
        <v>113</v>
      </c>
      <c r="C67" s="43"/>
      <c r="D67" s="44"/>
      <c r="E67" s="42"/>
      <c r="F67" s="42"/>
      <c r="G67" s="42"/>
      <c r="H67" s="42"/>
      <c r="I67" s="42">
        <f>SUM(I59:I66)</f>
        <v>0</v>
      </c>
      <c r="J67" s="41"/>
    </row>
    <row r="68" spans="1:10" s="30" customFormat="1" collapsed="1">
      <c r="A68" s="37" t="s">
        <v>143</v>
      </c>
      <c r="B68" s="38" t="s">
        <v>144</v>
      </c>
      <c r="C68" s="37"/>
      <c r="D68" s="39"/>
      <c r="E68" s="39"/>
      <c r="F68" s="39"/>
      <c r="G68" s="39"/>
      <c r="H68" s="39"/>
      <c r="I68" s="39"/>
      <c r="J68" s="38"/>
    </row>
    <row r="69" spans="1:10" s="31" customFormat="1" hidden="1" outlineLevel="1" collapsed="1">
      <c r="A69" s="40"/>
      <c r="B69" s="41" t="s">
        <v>86</v>
      </c>
      <c r="C69" s="40"/>
      <c r="D69" s="42"/>
      <c r="E69" s="42"/>
      <c r="F69" s="42"/>
      <c r="G69" s="42"/>
      <c r="H69" s="42"/>
      <c r="I69" s="42"/>
      <c r="J69" s="41"/>
    </row>
    <row r="70" spans="1:10" s="31" customFormat="1" ht="67.5" hidden="1" outlineLevel="2">
      <c r="A70" s="40">
        <v>1</v>
      </c>
      <c r="B70" s="41" t="s">
        <v>87</v>
      </c>
      <c r="C70" s="40" t="s">
        <v>88</v>
      </c>
      <c r="D70" s="42">
        <f>11.15*4</f>
        <v>44.6</v>
      </c>
      <c r="E70" s="42">
        <v>0</v>
      </c>
      <c r="F70" s="42">
        <v>0</v>
      </c>
      <c r="G70" s="42">
        <v>0</v>
      </c>
      <c r="H70" s="42">
        <f t="shared" ref="H70:H73" si="9">E70+F70+G70</f>
        <v>0</v>
      </c>
      <c r="I70" s="42">
        <f t="shared" ref="I70:I73" si="10">H70*D70</f>
        <v>0</v>
      </c>
      <c r="J70" s="41" t="s">
        <v>89</v>
      </c>
    </row>
    <row r="71" spans="1:10" s="31" customFormat="1" ht="67.5" hidden="1" outlineLevel="2">
      <c r="A71" s="40">
        <v>2</v>
      </c>
      <c r="B71" s="41" t="s">
        <v>134</v>
      </c>
      <c r="C71" s="40" t="s">
        <v>88</v>
      </c>
      <c r="D71" s="42">
        <f>11.15*4</f>
        <v>44.6</v>
      </c>
      <c r="E71" s="42">
        <v>0</v>
      </c>
      <c r="F71" s="42">
        <v>0</v>
      </c>
      <c r="G71" s="42">
        <v>0</v>
      </c>
      <c r="H71" s="42">
        <f t="shared" si="9"/>
        <v>0</v>
      </c>
      <c r="I71" s="42">
        <f t="shared" si="10"/>
        <v>0</v>
      </c>
      <c r="J71" s="41" t="s">
        <v>135</v>
      </c>
    </row>
    <row r="72" spans="1:10" s="31" customFormat="1" ht="56.25" hidden="1" outlineLevel="2">
      <c r="A72" s="40">
        <v>3</v>
      </c>
      <c r="B72" s="41" t="s">
        <v>94</v>
      </c>
      <c r="C72" s="40" t="s">
        <v>95</v>
      </c>
      <c r="D72" s="42">
        <f>15.63*4</f>
        <v>62.52</v>
      </c>
      <c r="E72" s="42">
        <v>0</v>
      </c>
      <c r="F72" s="42">
        <v>0</v>
      </c>
      <c r="G72" s="42">
        <v>0</v>
      </c>
      <c r="H72" s="42">
        <f t="shared" si="9"/>
        <v>0</v>
      </c>
      <c r="I72" s="42">
        <f t="shared" si="10"/>
        <v>0</v>
      </c>
      <c r="J72" s="41" t="s">
        <v>136</v>
      </c>
    </row>
    <row r="73" spans="1:10" s="32" customFormat="1" ht="56.25" hidden="1" outlineLevel="2">
      <c r="A73" s="40">
        <v>4</v>
      </c>
      <c r="B73" s="41" t="s">
        <v>99</v>
      </c>
      <c r="C73" s="40" t="s">
        <v>100</v>
      </c>
      <c r="D73" s="42">
        <v>4</v>
      </c>
      <c r="E73" s="42">
        <v>0</v>
      </c>
      <c r="F73" s="42">
        <v>0</v>
      </c>
      <c r="G73" s="42">
        <v>0</v>
      </c>
      <c r="H73" s="42">
        <f t="shared" si="9"/>
        <v>0</v>
      </c>
      <c r="I73" s="42">
        <f t="shared" si="10"/>
        <v>0</v>
      </c>
      <c r="J73" s="41" t="s">
        <v>101</v>
      </c>
    </row>
    <row r="74" spans="1:10" s="31" customFormat="1" hidden="1" outlineLevel="1" collapsed="1">
      <c r="A74" s="40"/>
      <c r="B74" s="41" t="s">
        <v>102</v>
      </c>
      <c r="C74" s="40"/>
      <c r="D74" s="42"/>
      <c r="E74" s="42"/>
      <c r="F74" s="42"/>
      <c r="G74" s="42"/>
      <c r="H74" s="42"/>
      <c r="I74" s="42"/>
      <c r="J74" s="41"/>
    </row>
    <row r="75" spans="1:10" s="33" customFormat="1" ht="67.5" hidden="1" outlineLevel="2">
      <c r="A75" s="43">
        <v>1</v>
      </c>
      <c r="B75" s="41" t="s">
        <v>103</v>
      </c>
      <c r="C75" s="43" t="s">
        <v>104</v>
      </c>
      <c r="D75" s="44">
        <f>(15.63-1.6)*2.2*4</f>
        <v>123.46</v>
      </c>
      <c r="E75" s="42">
        <v>0</v>
      </c>
      <c r="F75" s="42">
        <v>0</v>
      </c>
      <c r="G75" s="42">
        <v>0</v>
      </c>
      <c r="H75" s="42">
        <f>E75+F75+G75</f>
        <v>0</v>
      </c>
      <c r="I75" s="42">
        <f>H75*D75</f>
        <v>0</v>
      </c>
      <c r="J75" s="41" t="s">
        <v>105</v>
      </c>
    </row>
    <row r="76" spans="1:10" s="31" customFormat="1" ht="146.25" hidden="1" outlineLevel="2">
      <c r="A76" s="43">
        <v>2</v>
      </c>
      <c r="B76" s="41" t="s">
        <v>125</v>
      </c>
      <c r="C76" s="43" t="s">
        <v>104</v>
      </c>
      <c r="D76" s="44">
        <f>(15.63-1.6)*2.2*4</f>
        <v>123.46</v>
      </c>
      <c r="E76" s="42">
        <v>0</v>
      </c>
      <c r="F76" s="42">
        <v>0</v>
      </c>
      <c r="G76" s="42">
        <v>0</v>
      </c>
      <c r="H76" s="42">
        <f>E76+F76+G76</f>
        <v>0</v>
      </c>
      <c r="I76" s="42">
        <f>H76*D76</f>
        <v>0</v>
      </c>
      <c r="J76" s="41" t="s">
        <v>145</v>
      </c>
    </row>
    <row r="77" spans="1:10" s="31" customFormat="1" ht="56.25" hidden="1" outlineLevel="2">
      <c r="A77" s="40">
        <v>3</v>
      </c>
      <c r="B77" s="41" t="s">
        <v>110</v>
      </c>
      <c r="C77" s="40" t="s">
        <v>111</v>
      </c>
      <c r="D77" s="42">
        <v>4</v>
      </c>
      <c r="E77" s="42">
        <v>0</v>
      </c>
      <c r="F77" s="42">
        <v>0</v>
      </c>
      <c r="G77" s="42">
        <v>0</v>
      </c>
      <c r="H77" s="42">
        <f>E77+F77+G77</f>
        <v>0</v>
      </c>
      <c r="I77" s="42">
        <f>H77*D77</f>
        <v>0</v>
      </c>
      <c r="J77" s="41" t="s">
        <v>131</v>
      </c>
    </row>
    <row r="78" spans="1:10" s="33" customFormat="1" ht="19.899999999999999" hidden="1" customHeight="1" outlineLevel="2">
      <c r="A78" s="43"/>
      <c r="B78" s="41" t="s">
        <v>113</v>
      </c>
      <c r="C78" s="43"/>
      <c r="D78" s="44"/>
      <c r="E78" s="42"/>
      <c r="F78" s="42"/>
      <c r="G78" s="42"/>
      <c r="H78" s="42"/>
      <c r="I78" s="42">
        <f>SUM(I75:I77)</f>
        <v>0</v>
      </c>
      <c r="J78" s="41"/>
    </row>
    <row r="79" spans="1:10" s="30" customFormat="1" collapsed="1">
      <c r="A79" s="37" t="s">
        <v>146</v>
      </c>
      <c r="B79" s="38" t="s">
        <v>147</v>
      </c>
      <c r="C79" s="37"/>
      <c r="D79" s="39"/>
      <c r="E79" s="39"/>
      <c r="F79" s="39"/>
      <c r="G79" s="39"/>
      <c r="H79" s="39"/>
      <c r="I79" s="39"/>
      <c r="J79" s="38"/>
    </row>
    <row r="80" spans="1:10" s="31" customFormat="1" hidden="1" outlineLevel="1" collapsed="1">
      <c r="A80" s="40"/>
      <c r="B80" s="41" t="s">
        <v>86</v>
      </c>
      <c r="C80" s="40"/>
      <c r="D80" s="42"/>
      <c r="E80" s="42"/>
      <c r="F80" s="42"/>
      <c r="G80" s="42"/>
      <c r="H80" s="42"/>
      <c r="I80" s="42"/>
      <c r="J80" s="41"/>
    </row>
    <row r="81" spans="1:10" s="31" customFormat="1" ht="67.5" hidden="1" outlineLevel="2">
      <c r="A81" s="40">
        <v>1</v>
      </c>
      <c r="B81" s="41" t="s">
        <v>87</v>
      </c>
      <c r="C81" s="40" t="s">
        <v>88</v>
      </c>
      <c r="D81" s="42">
        <f>10.05*5</f>
        <v>50.25</v>
      </c>
      <c r="E81" s="42">
        <v>0</v>
      </c>
      <c r="F81" s="42">
        <v>0</v>
      </c>
      <c r="G81" s="42">
        <v>0</v>
      </c>
      <c r="H81" s="42">
        <f t="shared" ref="H81:H83" si="11">E81+F81+G81</f>
        <v>0</v>
      </c>
      <c r="I81" s="42">
        <f t="shared" ref="I81:I84" si="12">H81*D81</f>
        <v>0</v>
      </c>
      <c r="J81" s="41" t="s">
        <v>89</v>
      </c>
    </row>
    <row r="82" spans="1:10" s="31" customFormat="1" ht="67.5" hidden="1" outlineLevel="2">
      <c r="A82" s="40">
        <v>2</v>
      </c>
      <c r="B82" s="41" t="s">
        <v>134</v>
      </c>
      <c r="C82" s="40" t="s">
        <v>88</v>
      </c>
      <c r="D82" s="42">
        <f>10.05*5</f>
        <v>50.25</v>
      </c>
      <c r="E82" s="42">
        <v>0</v>
      </c>
      <c r="F82" s="42">
        <v>0</v>
      </c>
      <c r="G82" s="42">
        <v>0</v>
      </c>
      <c r="H82" s="42">
        <f t="shared" si="11"/>
        <v>0</v>
      </c>
      <c r="I82" s="42">
        <f t="shared" si="12"/>
        <v>0</v>
      </c>
      <c r="J82" s="41" t="s">
        <v>135</v>
      </c>
    </row>
    <row r="83" spans="1:10" s="31" customFormat="1" ht="56.25" hidden="1" outlineLevel="2">
      <c r="A83" s="40">
        <v>3</v>
      </c>
      <c r="B83" s="41" t="s">
        <v>94</v>
      </c>
      <c r="C83" s="40" t="s">
        <v>95</v>
      </c>
      <c r="D83" s="42">
        <f>12.72*5</f>
        <v>63.6</v>
      </c>
      <c r="E83" s="42">
        <v>0</v>
      </c>
      <c r="F83" s="42">
        <v>0</v>
      </c>
      <c r="G83" s="42">
        <v>0</v>
      </c>
      <c r="H83" s="42">
        <f t="shared" si="11"/>
        <v>0</v>
      </c>
      <c r="I83" s="42">
        <f t="shared" si="12"/>
        <v>0</v>
      </c>
      <c r="J83" s="41" t="s">
        <v>148</v>
      </c>
    </row>
    <row r="84" spans="1:10" s="32" customFormat="1" ht="56.25" hidden="1" outlineLevel="2">
      <c r="A84" s="40">
        <v>4</v>
      </c>
      <c r="B84" s="41" t="s">
        <v>99</v>
      </c>
      <c r="C84" s="40" t="s">
        <v>100</v>
      </c>
      <c r="D84" s="42">
        <v>5</v>
      </c>
      <c r="E84" s="42">
        <v>0</v>
      </c>
      <c r="F84" s="42">
        <v>0</v>
      </c>
      <c r="G84" s="42">
        <v>0</v>
      </c>
      <c r="H84" s="42">
        <v>0</v>
      </c>
      <c r="I84" s="42">
        <f t="shared" si="12"/>
        <v>0</v>
      </c>
      <c r="J84" s="41" t="s">
        <v>101</v>
      </c>
    </row>
    <row r="85" spans="1:10" s="31" customFormat="1" hidden="1" outlineLevel="1">
      <c r="A85" s="40"/>
      <c r="B85" s="41" t="s">
        <v>102</v>
      </c>
      <c r="C85" s="40"/>
      <c r="D85" s="42"/>
      <c r="E85" s="42"/>
      <c r="F85" s="42"/>
      <c r="G85" s="42"/>
      <c r="H85" s="42"/>
      <c r="I85" s="42"/>
      <c r="J85" s="41"/>
    </row>
    <row r="86" spans="1:10" s="33" customFormat="1" ht="67.5" hidden="1" outlineLevel="2">
      <c r="A86" s="43">
        <v>1</v>
      </c>
      <c r="B86" s="41" t="s">
        <v>103</v>
      </c>
      <c r="C86" s="43" t="s">
        <v>104</v>
      </c>
      <c r="D86" s="44">
        <f>(12.72-1.6)*5*2.2</f>
        <v>122.32</v>
      </c>
      <c r="E86" s="42">
        <v>0</v>
      </c>
      <c r="F86" s="42">
        <v>0</v>
      </c>
      <c r="G86" s="42">
        <v>0</v>
      </c>
      <c r="H86" s="42">
        <f>E86+F86+G86</f>
        <v>0</v>
      </c>
      <c r="I86" s="42">
        <f>H86*D86</f>
        <v>0</v>
      </c>
      <c r="J86" s="41" t="s">
        <v>105</v>
      </c>
    </row>
    <row r="87" spans="1:10" s="31" customFormat="1" ht="157.5" hidden="1" outlineLevel="2">
      <c r="A87" s="43">
        <v>2</v>
      </c>
      <c r="B87" s="41" t="s">
        <v>106</v>
      </c>
      <c r="C87" s="43" t="s">
        <v>104</v>
      </c>
      <c r="D87" s="44">
        <f>(12.72-1.6)*5*2.32</f>
        <v>128.99</v>
      </c>
      <c r="E87" s="42">
        <v>0</v>
      </c>
      <c r="F87" s="42">
        <v>0</v>
      </c>
      <c r="G87" s="42">
        <v>0</v>
      </c>
      <c r="H87" s="42">
        <f>E87+F87+G87</f>
        <v>0</v>
      </c>
      <c r="I87" s="42">
        <f>H87*D87</f>
        <v>0</v>
      </c>
      <c r="J87" s="41" t="s">
        <v>149</v>
      </c>
    </row>
    <row r="88" spans="1:10" s="31" customFormat="1" ht="56.25" hidden="1" outlineLevel="2">
      <c r="A88" s="40">
        <v>3</v>
      </c>
      <c r="B88" s="41" t="s">
        <v>110</v>
      </c>
      <c r="C88" s="40" t="s">
        <v>111</v>
      </c>
      <c r="D88" s="42">
        <v>5</v>
      </c>
      <c r="E88" s="42">
        <v>0</v>
      </c>
      <c r="F88" s="42">
        <v>0</v>
      </c>
      <c r="G88" s="42">
        <v>0</v>
      </c>
      <c r="H88" s="42">
        <f>E88+F88+G88</f>
        <v>0</v>
      </c>
      <c r="I88" s="42">
        <f>H88*D88</f>
        <v>0</v>
      </c>
      <c r="J88" s="41" t="s">
        <v>150</v>
      </c>
    </row>
    <row r="89" spans="1:10" s="33" customFormat="1" ht="19.899999999999999" hidden="1" customHeight="1" outlineLevel="2">
      <c r="A89" s="43"/>
      <c r="B89" s="41" t="s">
        <v>113</v>
      </c>
      <c r="C89" s="43"/>
      <c r="D89" s="44"/>
      <c r="E89" s="42"/>
      <c r="F89" s="42"/>
      <c r="G89" s="42"/>
      <c r="H89" s="42"/>
      <c r="I89" s="42">
        <f>SUM(I86:I88)</f>
        <v>0</v>
      </c>
      <c r="J89" s="41"/>
    </row>
    <row r="90" spans="1:10" s="30" customFormat="1" collapsed="1">
      <c r="A90" s="37" t="s">
        <v>151</v>
      </c>
      <c r="B90" s="38" t="s">
        <v>152</v>
      </c>
      <c r="C90" s="37"/>
      <c r="D90" s="39"/>
      <c r="E90" s="39"/>
      <c r="F90" s="39"/>
      <c r="G90" s="39"/>
      <c r="H90" s="39"/>
      <c r="I90" s="39"/>
      <c r="J90" s="38"/>
    </row>
    <row r="91" spans="1:10" s="31" customFormat="1" hidden="1" outlineLevel="1">
      <c r="A91" s="40"/>
      <c r="B91" s="41" t="s">
        <v>86</v>
      </c>
      <c r="C91" s="40"/>
      <c r="D91" s="42"/>
      <c r="E91" s="42"/>
      <c r="F91" s="42"/>
      <c r="G91" s="42"/>
      <c r="H91" s="42"/>
      <c r="I91" s="42"/>
      <c r="J91" s="41"/>
    </row>
    <row r="92" spans="1:10" s="31" customFormat="1" ht="67.5" hidden="1" outlineLevel="2">
      <c r="A92" s="40">
        <v>1</v>
      </c>
      <c r="B92" s="41" t="s">
        <v>87</v>
      </c>
      <c r="C92" s="40" t="s">
        <v>88</v>
      </c>
      <c r="D92" s="42">
        <f>158.36+340.21-51.46-90.62-56.41+4.5</f>
        <v>304.58</v>
      </c>
      <c r="E92" s="42">
        <v>0</v>
      </c>
      <c r="F92" s="42">
        <v>0</v>
      </c>
      <c r="G92" s="42">
        <v>0</v>
      </c>
      <c r="H92" s="42">
        <f>E92+F92+G92</f>
        <v>0</v>
      </c>
      <c r="I92" s="42">
        <f>H92*D92</f>
        <v>0</v>
      </c>
      <c r="J92" s="41" t="s">
        <v>89</v>
      </c>
    </row>
    <row r="93" spans="1:10" s="31" customFormat="1" ht="67.5" hidden="1" outlineLevel="2">
      <c r="A93" s="40">
        <v>2</v>
      </c>
      <c r="B93" s="41" t="s">
        <v>92</v>
      </c>
      <c r="C93" s="40" t="s">
        <v>95</v>
      </c>
      <c r="D93" s="42">
        <f>158.36+340.21-51.46-90.62-56.41</f>
        <v>300.08</v>
      </c>
      <c r="E93" s="42">
        <v>0</v>
      </c>
      <c r="F93" s="42">
        <v>0</v>
      </c>
      <c r="G93" s="42">
        <v>0</v>
      </c>
      <c r="H93" s="42">
        <f>E93+F93+G93</f>
        <v>0</v>
      </c>
      <c r="I93" s="42">
        <f>H93*D93</f>
        <v>0</v>
      </c>
      <c r="J93" s="41" t="s">
        <v>93</v>
      </c>
    </row>
    <row r="94" spans="1:10" s="31" customFormat="1" ht="56.25" hidden="1" outlineLevel="2">
      <c r="A94" s="40">
        <v>3</v>
      </c>
      <c r="B94" s="41" t="s">
        <v>94</v>
      </c>
      <c r="C94" s="40" t="s">
        <v>95</v>
      </c>
      <c r="D94" s="42">
        <f>85.55+163.3+42.6+39.4+65.13-22.5</f>
        <v>373.48</v>
      </c>
      <c r="E94" s="42">
        <v>0</v>
      </c>
      <c r="F94" s="42">
        <v>0</v>
      </c>
      <c r="G94" s="42">
        <v>0</v>
      </c>
      <c r="H94" s="42">
        <f>E94+F94+G94</f>
        <v>0</v>
      </c>
      <c r="I94" s="42">
        <f>H94*D94</f>
        <v>0</v>
      </c>
      <c r="J94" s="41" t="s">
        <v>153</v>
      </c>
    </row>
    <row r="95" spans="1:10" s="32" customFormat="1" ht="56.25" hidden="1" outlineLevel="2">
      <c r="A95" s="40">
        <v>4</v>
      </c>
      <c r="B95" s="41" t="s">
        <v>99</v>
      </c>
      <c r="C95" s="40" t="s">
        <v>100</v>
      </c>
      <c r="D95" s="42">
        <v>8</v>
      </c>
      <c r="E95" s="42">
        <v>0</v>
      </c>
      <c r="F95" s="42">
        <v>0</v>
      </c>
      <c r="G95" s="42">
        <v>0</v>
      </c>
      <c r="H95" s="42">
        <f t="shared" ref="H95:H100" si="13">E95+F95+G95</f>
        <v>0</v>
      </c>
      <c r="I95" s="42">
        <f t="shared" ref="I95:I100" si="14">H95*D95</f>
        <v>0</v>
      </c>
      <c r="J95" s="41" t="s">
        <v>154</v>
      </c>
    </row>
    <row r="96" spans="1:10" s="32" customFormat="1" hidden="1" outlineLevel="1">
      <c r="A96" s="40"/>
      <c r="B96" s="41" t="s">
        <v>102</v>
      </c>
      <c r="C96" s="40"/>
      <c r="D96" s="42"/>
      <c r="E96" s="42"/>
      <c r="F96" s="42"/>
      <c r="G96" s="42"/>
      <c r="H96" s="42"/>
      <c r="I96" s="42"/>
      <c r="J96" s="41"/>
    </row>
    <row r="97" spans="1:10" s="33" customFormat="1" ht="67.5" hidden="1" outlineLevel="2">
      <c r="A97" s="43">
        <v>1</v>
      </c>
      <c r="B97" s="41" t="s">
        <v>103</v>
      </c>
      <c r="C97" s="43" t="s">
        <v>104</v>
      </c>
      <c r="D97" s="44">
        <f>(373.48-72)*2.2</f>
        <v>663.26</v>
      </c>
      <c r="E97" s="42">
        <v>0</v>
      </c>
      <c r="F97" s="42">
        <v>0</v>
      </c>
      <c r="G97" s="42">
        <v>0</v>
      </c>
      <c r="H97" s="42">
        <f t="shared" si="13"/>
        <v>0</v>
      </c>
      <c r="I97" s="42">
        <f t="shared" si="14"/>
        <v>0</v>
      </c>
      <c r="J97" s="41" t="s">
        <v>105</v>
      </c>
    </row>
    <row r="98" spans="1:10" ht="157.5" hidden="1" outlineLevel="2">
      <c r="A98" s="43">
        <v>2</v>
      </c>
      <c r="B98" s="41" t="s">
        <v>106</v>
      </c>
      <c r="C98" s="43" t="s">
        <v>104</v>
      </c>
      <c r="D98" s="44">
        <f>D97</f>
        <v>663.26</v>
      </c>
      <c r="E98" s="42">
        <v>0</v>
      </c>
      <c r="F98" s="42">
        <v>0</v>
      </c>
      <c r="G98" s="42">
        <v>0</v>
      </c>
      <c r="H98" s="42">
        <f t="shared" si="13"/>
        <v>0</v>
      </c>
      <c r="I98" s="42">
        <f t="shared" si="14"/>
        <v>0</v>
      </c>
      <c r="J98" s="41" t="s">
        <v>155</v>
      </c>
    </row>
    <row r="99" spans="1:10" ht="135" hidden="1" outlineLevel="2">
      <c r="A99" s="43">
        <v>3</v>
      </c>
      <c r="B99" s="41" t="s">
        <v>156</v>
      </c>
      <c r="C99" s="43" t="s">
        <v>157</v>
      </c>
      <c r="D99" s="44">
        <v>20</v>
      </c>
      <c r="E99" s="42">
        <v>0</v>
      </c>
      <c r="F99" s="42">
        <v>0</v>
      </c>
      <c r="G99" s="42">
        <v>0</v>
      </c>
      <c r="H99" s="42">
        <f t="shared" si="13"/>
        <v>0</v>
      </c>
      <c r="I99" s="42">
        <f t="shared" si="14"/>
        <v>0</v>
      </c>
      <c r="J99" s="41" t="s">
        <v>158</v>
      </c>
    </row>
    <row r="100" spans="1:10" s="31" customFormat="1" ht="56.25" hidden="1" outlineLevel="2">
      <c r="A100" s="40">
        <v>4</v>
      </c>
      <c r="B100" s="41" t="s">
        <v>110</v>
      </c>
      <c r="C100" s="40" t="s">
        <v>111</v>
      </c>
      <c r="D100" s="42">
        <v>28</v>
      </c>
      <c r="E100" s="42">
        <v>0</v>
      </c>
      <c r="F100" s="42">
        <v>0</v>
      </c>
      <c r="G100" s="42">
        <v>0</v>
      </c>
      <c r="H100" s="42">
        <f t="shared" si="13"/>
        <v>0</v>
      </c>
      <c r="I100" s="42">
        <f t="shared" si="14"/>
        <v>0</v>
      </c>
      <c r="J100" s="41" t="s">
        <v>159</v>
      </c>
    </row>
    <row r="101" spans="1:10" s="33" customFormat="1" hidden="1" outlineLevel="2">
      <c r="A101" s="43"/>
      <c r="B101" s="41" t="s">
        <v>113</v>
      </c>
      <c r="C101" s="44"/>
      <c r="D101" s="44"/>
      <c r="E101" s="42"/>
      <c r="F101" s="42"/>
      <c r="G101" s="42"/>
      <c r="H101" s="42"/>
      <c r="I101" s="42">
        <f>SUM(I92:I100)</f>
        <v>0</v>
      </c>
      <c r="J101" s="41"/>
    </row>
    <row r="102" spans="1:10" s="30" customFormat="1" collapsed="1">
      <c r="A102" s="37" t="s">
        <v>160</v>
      </c>
      <c r="B102" s="38" t="s">
        <v>161</v>
      </c>
      <c r="C102" s="37"/>
      <c r="D102" s="39"/>
      <c r="E102" s="39"/>
      <c r="F102" s="39"/>
      <c r="G102" s="39"/>
      <c r="H102" s="39"/>
      <c r="I102" s="39"/>
      <c r="J102" s="38"/>
    </row>
    <row r="103" spans="1:10" s="31" customFormat="1" hidden="1" outlineLevel="1">
      <c r="A103" s="40"/>
      <c r="B103" s="41" t="s">
        <v>86</v>
      </c>
      <c r="C103" s="40"/>
      <c r="D103" s="42"/>
      <c r="E103" s="42"/>
      <c r="F103" s="42"/>
      <c r="G103" s="42"/>
      <c r="H103" s="42"/>
      <c r="I103" s="42"/>
      <c r="J103" s="41"/>
    </row>
    <row r="104" spans="1:10" s="31" customFormat="1" ht="67.5" hidden="1" outlineLevel="2">
      <c r="A104" s="40">
        <v>1</v>
      </c>
      <c r="B104" s="41" t="s">
        <v>87</v>
      </c>
      <c r="C104" s="40" t="s">
        <v>88</v>
      </c>
      <c r="D104" s="42">
        <v>12.95</v>
      </c>
      <c r="E104" s="42">
        <v>0</v>
      </c>
      <c r="F104" s="42">
        <v>0</v>
      </c>
      <c r="G104" s="42">
        <v>0</v>
      </c>
      <c r="H104" s="42">
        <f t="shared" ref="H104:H107" si="15">E104+F104+G104</f>
        <v>0</v>
      </c>
      <c r="I104" s="42">
        <f t="shared" ref="I104:I107" si="16">H104*D104</f>
        <v>0</v>
      </c>
      <c r="J104" s="41" t="s">
        <v>89</v>
      </c>
    </row>
    <row r="105" spans="1:10" s="31" customFormat="1" ht="67.5" hidden="1" outlineLevel="2">
      <c r="A105" s="40">
        <v>2</v>
      </c>
      <c r="B105" s="41" t="s">
        <v>134</v>
      </c>
      <c r="C105" s="40" t="s">
        <v>88</v>
      </c>
      <c r="D105" s="42">
        <v>12.95</v>
      </c>
      <c r="E105" s="42">
        <v>0</v>
      </c>
      <c r="F105" s="42">
        <v>0</v>
      </c>
      <c r="G105" s="42">
        <v>0</v>
      </c>
      <c r="H105" s="42">
        <f t="shared" si="15"/>
        <v>0</v>
      </c>
      <c r="I105" s="42">
        <f t="shared" si="16"/>
        <v>0</v>
      </c>
      <c r="J105" s="41" t="s">
        <v>135</v>
      </c>
    </row>
    <row r="106" spans="1:10" s="31" customFormat="1" ht="56.25" hidden="1" outlineLevel="2">
      <c r="A106" s="40">
        <v>3</v>
      </c>
      <c r="B106" s="41" t="s">
        <v>94</v>
      </c>
      <c r="C106" s="40" t="s">
        <v>95</v>
      </c>
      <c r="D106" s="42">
        <v>14.68</v>
      </c>
      <c r="E106" s="42">
        <v>0</v>
      </c>
      <c r="F106" s="42">
        <v>0</v>
      </c>
      <c r="G106" s="42">
        <v>0</v>
      </c>
      <c r="H106" s="42">
        <f t="shared" si="15"/>
        <v>0</v>
      </c>
      <c r="I106" s="42">
        <f t="shared" si="16"/>
        <v>0</v>
      </c>
      <c r="J106" s="41" t="s">
        <v>148</v>
      </c>
    </row>
    <row r="107" spans="1:10" s="32" customFormat="1" ht="56.25" hidden="1" outlineLevel="2">
      <c r="A107" s="40">
        <v>4</v>
      </c>
      <c r="B107" s="41" t="s">
        <v>99</v>
      </c>
      <c r="C107" s="40" t="s">
        <v>100</v>
      </c>
      <c r="D107" s="42">
        <v>1</v>
      </c>
      <c r="E107" s="42">
        <v>0</v>
      </c>
      <c r="F107" s="42">
        <v>0</v>
      </c>
      <c r="G107" s="42">
        <v>0</v>
      </c>
      <c r="H107" s="42">
        <f t="shared" si="15"/>
        <v>0</v>
      </c>
      <c r="I107" s="42">
        <f t="shared" si="16"/>
        <v>0</v>
      </c>
      <c r="J107" s="41" t="s">
        <v>101</v>
      </c>
    </row>
    <row r="108" spans="1:10" s="31" customFormat="1" hidden="1" outlineLevel="1">
      <c r="A108" s="40"/>
      <c r="B108" s="41" t="s">
        <v>102</v>
      </c>
      <c r="C108" s="40"/>
      <c r="D108" s="42"/>
      <c r="E108" s="42"/>
      <c r="F108" s="42"/>
      <c r="G108" s="42"/>
      <c r="H108" s="42"/>
      <c r="I108" s="42"/>
      <c r="J108" s="41"/>
    </row>
    <row r="109" spans="1:10" s="33" customFormat="1" ht="67.5" hidden="1" outlineLevel="2">
      <c r="A109" s="43">
        <v>1</v>
      </c>
      <c r="B109" s="41" t="s">
        <v>103</v>
      </c>
      <c r="C109" s="43" t="s">
        <v>104</v>
      </c>
      <c r="D109" s="44">
        <f>(14.68-0.9)*2.2</f>
        <v>30.32</v>
      </c>
      <c r="E109" s="42">
        <v>0</v>
      </c>
      <c r="F109" s="42">
        <v>0</v>
      </c>
      <c r="G109" s="42">
        <v>0</v>
      </c>
      <c r="H109" s="42">
        <f>E109+F109+G109</f>
        <v>0</v>
      </c>
      <c r="I109" s="42">
        <f>H109*D109</f>
        <v>0</v>
      </c>
      <c r="J109" s="41" t="s">
        <v>105</v>
      </c>
    </row>
    <row r="110" spans="1:10" s="31" customFormat="1" ht="157.5" hidden="1" outlineLevel="2">
      <c r="A110" s="43">
        <v>2</v>
      </c>
      <c r="B110" s="41" t="s">
        <v>106</v>
      </c>
      <c r="C110" s="43" t="s">
        <v>104</v>
      </c>
      <c r="D110" s="44">
        <f>(14.68-0.9)*2.2</f>
        <v>30.32</v>
      </c>
      <c r="E110" s="42">
        <v>0</v>
      </c>
      <c r="F110" s="42">
        <v>0</v>
      </c>
      <c r="G110" s="42">
        <v>0</v>
      </c>
      <c r="H110" s="42">
        <f>E110+F110+G110</f>
        <v>0</v>
      </c>
      <c r="I110" s="42">
        <f>H110*D110</f>
        <v>0</v>
      </c>
      <c r="J110" s="41" t="s">
        <v>162</v>
      </c>
    </row>
    <row r="111" spans="1:10" s="31" customFormat="1" ht="56.25" hidden="1" outlineLevel="2">
      <c r="A111" s="40">
        <v>3</v>
      </c>
      <c r="B111" s="41" t="s">
        <v>110</v>
      </c>
      <c r="C111" s="40" t="s">
        <v>111</v>
      </c>
      <c r="D111" s="42">
        <v>1</v>
      </c>
      <c r="E111" s="42">
        <v>0</v>
      </c>
      <c r="F111" s="42">
        <v>0</v>
      </c>
      <c r="G111" s="42">
        <v>0</v>
      </c>
      <c r="H111" s="42">
        <f>E111+F111+G111</f>
        <v>0</v>
      </c>
      <c r="I111" s="42">
        <f>H111*D111</f>
        <v>0</v>
      </c>
      <c r="J111" s="41" t="s">
        <v>150</v>
      </c>
    </row>
    <row r="112" spans="1:10" s="33" customFormat="1" ht="19.899999999999999" hidden="1" customHeight="1" outlineLevel="2">
      <c r="A112" s="43"/>
      <c r="B112" s="41" t="s">
        <v>113</v>
      </c>
      <c r="C112" s="43"/>
      <c r="D112" s="44"/>
      <c r="E112" s="42"/>
      <c r="F112" s="42"/>
      <c r="G112" s="42"/>
      <c r="H112" s="42"/>
      <c r="I112" s="42">
        <f>SUM(I104:I111)</f>
        <v>0</v>
      </c>
      <c r="J112" s="41"/>
    </row>
    <row r="113" spans="1:10" s="30" customFormat="1" collapsed="1">
      <c r="A113" s="37" t="s">
        <v>163</v>
      </c>
      <c r="B113" s="38" t="s">
        <v>164</v>
      </c>
      <c r="C113" s="37"/>
      <c r="D113" s="39"/>
      <c r="E113" s="39"/>
      <c r="F113" s="39"/>
      <c r="G113" s="39"/>
      <c r="H113" s="39"/>
      <c r="I113" s="39"/>
      <c r="J113" s="38"/>
    </row>
    <row r="114" spans="1:10" s="31" customFormat="1" hidden="1" outlineLevel="1" collapsed="1">
      <c r="A114" s="40"/>
      <c r="B114" s="41" t="s">
        <v>86</v>
      </c>
      <c r="C114" s="40"/>
      <c r="D114" s="42"/>
      <c r="E114" s="42"/>
      <c r="F114" s="42"/>
      <c r="G114" s="42"/>
      <c r="H114" s="42"/>
      <c r="I114" s="42"/>
      <c r="J114" s="41"/>
    </row>
    <row r="115" spans="1:10" s="31" customFormat="1" ht="67.5" hidden="1" outlineLevel="2">
      <c r="A115" s="40">
        <v>1</v>
      </c>
      <c r="B115" s="41" t="s">
        <v>87</v>
      </c>
      <c r="C115" s="40" t="s">
        <v>88</v>
      </c>
      <c r="D115" s="42">
        <v>15.34</v>
      </c>
      <c r="E115" s="42">
        <v>0</v>
      </c>
      <c r="F115" s="42">
        <v>0</v>
      </c>
      <c r="G115" s="42">
        <v>0</v>
      </c>
      <c r="H115" s="42">
        <f t="shared" ref="H115:H118" si="17">E115+F115+G115</f>
        <v>0</v>
      </c>
      <c r="I115" s="42">
        <f t="shared" ref="I115:I118" si="18">H115*D115</f>
        <v>0</v>
      </c>
      <c r="J115" s="41" t="s">
        <v>89</v>
      </c>
    </row>
    <row r="116" spans="1:10" s="31" customFormat="1" ht="67.5" hidden="1" outlineLevel="2">
      <c r="A116" s="40">
        <v>2</v>
      </c>
      <c r="B116" s="41" t="s">
        <v>134</v>
      </c>
      <c r="C116" s="40" t="s">
        <v>88</v>
      </c>
      <c r="D116" s="42">
        <v>15.34</v>
      </c>
      <c r="E116" s="42">
        <v>0</v>
      </c>
      <c r="F116" s="42">
        <v>0</v>
      </c>
      <c r="G116" s="42">
        <v>0</v>
      </c>
      <c r="H116" s="42">
        <f t="shared" si="17"/>
        <v>0</v>
      </c>
      <c r="I116" s="42">
        <f t="shared" si="18"/>
        <v>0</v>
      </c>
      <c r="J116" s="41" t="s">
        <v>135</v>
      </c>
    </row>
    <row r="117" spans="1:10" s="31" customFormat="1" ht="56.25" hidden="1" outlineLevel="2">
      <c r="A117" s="40">
        <v>3</v>
      </c>
      <c r="B117" s="41" t="s">
        <v>94</v>
      </c>
      <c r="C117" s="40" t="s">
        <v>95</v>
      </c>
      <c r="D117" s="42">
        <v>16.89</v>
      </c>
      <c r="E117" s="42">
        <v>0</v>
      </c>
      <c r="F117" s="42">
        <v>0</v>
      </c>
      <c r="G117" s="42">
        <v>0</v>
      </c>
      <c r="H117" s="42">
        <f t="shared" si="17"/>
        <v>0</v>
      </c>
      <c r="I117" s="42">
        <f t="shared" si="18"/>
        <v>0</v>
      </c>
      <c r="J117" s="41" t="s">
        <v>165</v>
      </c>
    </row>
    <row r="118" spans="1:10" s="32" customFormat="1" ht="56.25" hidden="1" outlineLevel="2">
      <c r="A118" s="40">
        <v>4</v>
      </c>
      <c r="B118" s="41" t="s">
        <v>99</v>
      </c>
      <c r="C118" s="40" t="s">
        <v>100</v>
      </c>
      <c r="D118" s="42">
        <v>1</v>
      </c>
      <c r="E118" s="42">
        <v>0</v>
      </c>
      <c r="F118" s="42">
        <v>0</v>
      </c>
      <c r="G118" s="42">
        <v>0</v>
      </c>
      <c r="H118" s="42">
        <f t="shared" si="17"/>
        <v>0</v>
      </c>
      <c r="I118" s="42">
        <f t="shared" si="18"/>
        <v>0</v>
      </c>
      <c r="J118" s="41" t="s">
        <v>166</v>
      </c>
    </row>
    <row r="119" spans="1:10" s="31" customFormat="1" hidden="1" outlineLevel="1">
      <c r="A119" s="40"/>
      <c r="B119" s="41" t="s">
        <v>102</v>
      </c>
      <c r="C119" s="40"/>
      <c r="D119" s="42"/>
      <c r="E119" s="42"/>
      <c r="F119" s="42"/>
      <c r="G119" s="42"/>
      <c r="H119" s="42"/>
      <c r="I119" s="42"/>
      <c r="J119" s="41"/>
    </row>
    <row r="120" spans="1:10" s="33" customFormat="1" ht="67.5" hidden="1" outlineLevel="2">
      <c r="A120" s="43">
        <v>1</v>
      </c>
      <c r="B120" s="41" t="s">
        <v>103</v>
      </c>
      <c r="C120" s="43" t="s">
        <v>104</v>
      </c>
      <c r="D120" s="44">
        <f>15.99*2.2</f>
        <v>35.18</v>
      </c>
      <c r="E120" s="42">
        <v>0</v>
      </c>
      <c r="F120" s="42">
        <v>0</v>
      </c>
      <c r="G120" s="42">
        <v>0</v>
      </c>
      <c r="H120" s="42">
        <f>E120+F120+G120</f>
        <v>0</v>
      </c>
      <c r="I120" s="42">
        <f>H120*D120</f>
        <v>0</v>
      </c>
      <c r="J120" s="41" t="s">
        <v>167</v>
      </c>
    </row>
    <row r="121" spans="1:10" s="31" customFormat="1" ht="146.25" hidden="1" outlineLevel="2">
      <c r="A121" s="43">
        <v>2</v>
      </c>
      <c r="B121" s="41" t="s">
        <v>106</v>
      </c>
      <c r="C121" s="43" t="s">
        <v>104</v>
      </c>
      <c r="D121" s="44">
        <f>15.99*2.2</f>
        <v>35.18</v>
      </c>
      <c r="E121" s="42">
        <v>0</v>
      </c>
      <c r="F121" s="42">
        <v>0</v>
      </c>
      <c r="G121" s="42">
        <v>0</v>
      </c>
      <c r="H121" s="42">
        <f>E121+F121+G121</f>
        <v>0</v>
      </c>
      <c r="I121" s="42">
        <f>H121*D121</f>
        <v>0</v>
      </c>
      <c r="J121" s="41" t="s">
        <v>168</v>
      </c>
    </row>
    <row r="122" spans="1:10" s="31" customFormat="1" ht="56.25" hidden="1" outlineLevel="2">
      <c r="A122" s="40">
        <v>3</v>
      </c>
      <c r="B122" s="41" t="s">
        <v>110</v>
      </c>
      <c r="C122" s="40" t="s">
        <v>111</v>
      </c>
      <c r="D122" s="42">
        <v>1</v>
      </c>
      <c r="E122" s="42">
        <v>0</v>
      </c>
      <c r="F122" s="42">
        <v>0</v>
      </c>
      <c r="G122" s="42">
        <v>0</v>
      </c>
      <c r="H122" s="42">
        <f>E122+F122+G122</f>
        <v>0</v>
      </c>
      <c r="I122" s="42">
        <f>H122*D122</f>
        <v>0</v>
      </c>
      <c r="J122" s="41" t="s">
        <v>169</v>
      </c>
    </row>
    <row r="123" spans="1:10" s="33" customFormat="1" ht="19.899999999999999" hidden="1" customHeight="1" outlineLevel="2">
      <c r="A123" s="43"/>
      <c r="B123" s="41" t="s">
        <v>113</v>
      </c>
      <c r="C123" s="43"/>
      <c r="D123" s="44"/>
      <c r="E123" s="42"/>
      <c r="F123" s="42"/>
      <c r="G123" s="42"/>
      <c r="H123" s="42"/>
      <c r="I123" s="42">
        <f>SUM(I115:I122)</f>
        <v>0</v>
      </c>
      <c r="J123" s="41"/>
    </row>
    <row r="124" spans="1:10" s="30" customFormat="1" ht="22.5" collapsed="1">
      <c r="A124" s="37" t="s">
        <v>170</v>
      </c>
      <c r="B124" s="38" t="s">
        <v>171</v>
      </c>
      <c r="C124" s="37"/>
      <c r="D124" s="39"/>
      <c r="E124" s="39"/>
      <c r="F124" s="39"/>
      <c r="G124" s="39"/>
      <c r="H124" s="39"/>
      <c r="I124" s="39"/>
      <c r="J124" s="38"/>
    </row>
    <row r="125" spans="1:10" s="31" customFormat="1" hidden="1" outlineLevel="1">
      <c r="A125" s="40"/>
      <c r="B125" s="41" t="s">
        <v>86</v>
      </c>
      <c r="C125" s="40"/>
      <c r="D125" s="42"/>
      <c r="E125" s="42"/>
      <c r="F125" s="42"/>
      <c r="G125" s="42"/>
      <c r="H125" s="42"/>
      <c r="I125" s="42"/>
      <c r="J125" s="41"/>
    </row>
    <row r="126" spans="1:10" s="31" customFormat="1" ht="67.5" hidden="1" outlineLevel="2">
      <c r="A126" s="40">
        <v>1</v>
      </c>
      <c r="B126" s="41" t="s">
        <v>87</v>
      </c>
      <c r="C126" s="40" t="s">
        <v>88</v>
      </c>
      <c r="D126" s="42">
        <f>14.7*2</f>
        <v>29.4</v>
      </c>
      <c r="E126" s="42">
        <v>0</v>
      </c>
      <c r="F126" s="42">
        <v>0</v>
      </c>
      <c r="G126" s="42">
        <v>0</v>
      </c>
      <c r="H126" s="42">
        <f t="shared" ref="H126:H129" si="19">E126+F126+G126</f>
        <v>0</v>
      </c>
      <c r="I126" s="42">
        <f t="shared" ref="I126:I129" si="20">H126*D126</f>
        <v>0</v>
      </c>
      <c r="J126" s="41" t="s">
        <v>89</v>
      </c>
    </row>
    <row r="127" spans="1:10" s="31" customFormat="1" ht="67.5" hidden="1" outlineLevel="2">
      <c r="A127" s="40">
        <v>2</v>
      </c>
      <c r="B127" s="41" t="s">
        <v>134</v>
      </c>
      <c r="C127" s="40" t="s">
        <v>88</v>
      </c>
      <c r="D127" s="42">
        <f>14.7*2</f>
        <v>29.4</v>
      </c>
      <c r="E127" s="42">
        <v>0</v>
      </c>
      <c r="F127" s="42">
        <v>0</v>
      </c>
      <c r="G127" s="42">
        <v>0</v>
      </c>
      <c r="H127" s="42">
        <f t="shared" si="19"/>
        <v>0</v>
      </c>
      <c r="I127" s="42">
        <f t="shared" si="20"/>
        <v>0</v>
      </c>
      <c r="J127" s="41" t="s">
        <v>135</v>
      </c>
    </row>
    <row r="128" spans="1:10" s="31" customFormat="1" ht="56.25" hidden="1" outlineLevel="2">
      <c r="A128" s="40">
        <v>3</v>
      </c>
      <c r="B128" s="41" t="s">
        <v>94</v>
      </c>
      <c r="C128" s="40" t="s">
        <v>95</v>
      </c>
      <c r="D128" s="42">
        <f>15.8*2</f>
        <v>31.6</v>
      </c>
      <c r="E128" s="42">
        <v>0</v>
      </c>
      <c r="F128" s="42">
        <v>0</v>
      </c>
      <c r="G128" s="42">
        <v>0</v>
      </c>
      <c r="H128" s="42">
        <f t="shared" si="19"/>
        <v>0</v>
      </c>
      <c r="I128" s="42">
        <f t="shared" si="20"/>
        <v>0</v>
      </c>
      <c r="J128" s="41" t="s">
        <v>148</v>
      </c>
    </row>
    <row r="129" spans="1:10" s="32" customFormat="1" ht="56.25" hidden="1" outlineLevel="2">
      <c r="A129" s="40">
        <v>4</v>
      </c>
      <c r="B129" s="41" t="s">
        <v>99</v>
      </c>
      <c r="C129" s="40" t="s">
        <v>100</v>
      </c>
      <c r="D129" s="42">
        <v>2</v>
      </c>
      <c r="E129" s="42">
        <v>0</v>
      </c>
      <c r="F129" s="42">
        <v>0</v>
      </c>
      <c r="G129" s="42">
        <v>0</v>
      </c>
      <c r="H129" s="42">
        <f t="shared" si="19"/>
        <v>0</v>
      </c>
      <c r="I129" s="42">
        <f t="shared" si="20"/>
        <v>0</v>
      </c>
      <c r="J129" s="41" t="s">
        <v>101</v>
      </c>
    </row>
    <row r="130" spans="1:10" s="31" customFormat="1" hidden="1" outlineLevel="1">
      <c r="A130" s="40"/>
      <c r="B130" s="41" t="s">
        <v>102</v>
      </c>
      <c r="C130" s="40"/>
      <c r="D130" s="42"/>
      <c r="E130" s="42"/>
      <c r="F130" s="42"/>
      <c r="G130" s="42"/>
      <c r="H130" s="42"/>
      <c r="I130" s="42"/>
      <c r="J130" s="41"/>
    </row>
    <row r="131" spans="1:10" s="33" customFormat="1" ht="67.5" hidden="1" outlineLevel="2">
      <c r="A131" s="43">
        <v>1</v>
      </c>
      <c r="B131" s="41" t="s">
        <v>103</v>
      </c>
      <c r="C131" s="43" t="s">
        <v>104</v>
      </c>
      <c r="D131" s="44">
        <f t="shared" ref="D131:D133" si="21">15.8*2*2.2</f>
        <v>69.52</v>
      </c>
      <c r="E131" s="42">
        <v>0</v>
      </c>
      <c r="F131" s="42">
        <v>0</v>
      </c>
      <c r="G131" s="42">
        <v>0</v>
      </c>
      <c r="H131" s="42">
        <f t="shared" ref="H131:H133" si="22">E131+F131+G131</f>
        <v>0</v>
      </c>
      <c r="I131" s="42">
        <f t="shared" ref="I131:I133" si="23">H131*D131</f>
        <v>0</v>
      </c>
      <c r="J131" s="41" t="s">
        <v>105</v>
      </c>
    </row>
    <row r="132" spans="1:10" s="31" customFormat="1" ht="146.25" hidden="1" outlineLevel="2">
      <c r="A132" s="43">
        <v>2</v>
      </c>
      <c r="B132" s="41" t="s">
        <v>106</v>
      </c>
      <c r="C132" s="43" t="s">
        <v>104</v>
      </c>
      <c r="D132" s="44">
        <f t="shared" si="21"/>
        <v>69.52</v>
      </c>
      <c r="E132" s="42">
        <v>0</v>
      </c>
      <c r="F132" s="42">
        <v>0</v>
      </c>
      <c r="G132" s="42">
        <v>0</v>
      </c>
      <c r="H132" s="42">
        <f t="shared" si="22"/>
        <v>0</v>
      </c>
      <c r="I132" s="42">
        <f t="shared" si="23"/>
        <v>0</v>
      </c>
      <c r="J132" s="41" t="s">
        <v>172</v>
      </c>
    </row>
    <row r="133" spans="1:10" s="31" customFormat="1" ht="56.25" hidden="1" outlineLevel="2">
      <c r="A133" s="43">
        <v>3</v>
      </c>
      <c r="B133" s="41" t="s">
        <v>173</v>
      </c>
      <c r="C133" s="43" t="s">
        <v>104</v>
      </c>
      <c r="D133" s="44">
        <f t="shared" si="21"/>
        <v>69.52</v>
      </c>
      <c r="E133" s="42">
        <v>0</v>
      </c>
      <c r="F133" s="42">
        <v>0</v>
      </c>
      <c r="G133" s="42">
        <v>0</v>
      </c>
      <c r="H133" s="42">
        <f t="shared" si="22"/>
        <v>0</v>
      </c>
      <c r="I133" s="42">
        <f t="shared" si="23"/>
        <v>0</v>
      </c>
      <c r="J133" s="41" t="s">
        <v>174</v>
      </c>
    </row>
    <row r="134" spans="1:10" s="31" customFormat="1" ht="45" hidden="1" outlineLevel="2">
      <c r="A134" s="40">
        <v>4</v>
      </c>
      <c r="B134" s="41" t="s">
        <v>175</v>
      </c>
      <c r="C134" s="43" t="s">
        <v>104</v>
      </c>
      <c r="D134" s="42">
        <f>15.8*1.2*2</f>
        <v>37.92</v>
      </c>
      <c r="E134" s="42">
        <v>0</v>
      </c>
      <c r="F134" s="42">
        <v>0</v>
      </c>
      <c r="G134" s="42">
        <v>0</v>
      </c>
      <c r="H134" s="42">
        <f>E134+F134+G134</f>
        <v>0</v>
      </c>
      <c r="I134" s="42">
        <f>H134*D134</f>
        <v>0</v>
      </c>
      <c r="J134" s="41" t="s">
        <v>176</v>
      </c>
    </row>
    <row r="135" spans="1:10" s="31" customFormat="1" ht="56.25" hidden="1" outlineLevel="2">
      <c r="A135" s="40">
        <v>5</v>
      </c>
      <c r="B135" s="41" t="s">
        <v>110</v>
      </c>
      <c r="C135" s="40" t="s">
        <v>111</v>
      </c>
      <c r="D135" s="42">
        <v>3</v>
      </c>
      <c r="E135" s="42">
        <v>0</v>
      </c>
      <c r="F135" s="42">
        <v>0</v>
      </c>
      <c r="G135" s="42">
        <v>0</v>
      </c>
      <c r="H135" s="42">
        <f>E135+F135+G135</f>
        <v>0</v>
      </c>
      <c r="I135" s="42">
        <f>H135*D135</f>
        <v>0</v>
      </c>
      <c r="J135" s="41" t="s">
        <v>177</v>
      </c>
    </row>
    <row r="136" spans="1:10" s="31" customFormat="1" hidden="1" outlineLevel="1">
      <c r="A136" s="40"/>
      <c r="B136" s="41" t="s">
        <v>178</v>
      </c>
      <c r="C136" s="40"/>
      <c r="D136" s="42"/>
      <c r="E136" s="42"/>
      <c r="F136" s="42"/>
      <c r="G136" s="42"/>
      <c r="H136" s="42"/>
      <c r="I136" s="42"/>
      <c r="J136" s="41"/>
    </row>
    <row r="137" spans="1:10" s="31" customFormat="1" ht="45" hidden="1" outlineLevel="2">
      <c r="A137" s="40">
        <v>1</v>
      </c>
      <c r="B137" s="41" t="s">
        <v>179</v>
      </c>
      <c r="C137" s="43" t="s">
        <v>104</v>
      </c>
      <c r="D137" s="42">
        <f>14.7*1.2*2</f>
        <v>35.28</v>
      </c>
      <c r="E137" s="42">
        <v>0</v>
      </c>
      <c r="F137" s="42">
        <v>0</v>
      </c>
      <c r="G137" s="42">
        <v>0</v>
      </c>
      <c r="H137" s="42">
        <f>E137+F137+G137</f>
        <v>0</v>
      </c>
      <c r="I137" s="42">
        <f t="shared" ref="I137:I139" si="24">H137*D137</f>
        <v>0</v>
      </c>
      <c r="J137" s="41" t="s">
        <v>180</v>
      </c>
    </row>
    <row r="138" spans="1:10" s="31" customFormat="1" ht="56.25" hidden="1" outlineLevel="2">
      <c r="A138" s="40">
        <v>2</v>
      </c>
      <c r="B138" s="41" t="s">
        <v>181</v>
      </c>
      <c r="C138" s="40" t="s">
        <v>88</v>
      </c>
      <c r="D138" s="42">
        <f>14.7*2</f>
        <v>29.4</v>
      </c>
      <c r="E138" s="42">
        <v>0</v>
      </c>
      <c r="F138" s="42">
        <v>0</v>
      </c>
      <c r="G138" s="42">
        <v>0</v>
      </c>
      <c r="H138" s="42">
        <f>E138+F138+G138</f>
        <v>0</v>
      </c>
      <c r="I138" s="42">
        <f t="shared" si="24"/>
        <v>0</v>
      </c>
      <c r="J138" s="41" t="s">
        <v>182</v>
      </c>
    </row>
    <row r="139" spans="1:10" s="33" customFormat="1" ht="36.950000000000003" hidden="1" customHeight="1" outlineLevel="2">
      <c r="A139" s="43">
        <v>3</v>
      </c>
      <c r="B139" s="41" t="s">
        <v>183</v>
      </c>
      <c r="C139" s="43" t="s">
        <v>100</v>
      </c>
      <c r="D139" s="44">
        <v>2</v>
      </c>
      <c r="E139" s="42">
        <v>0</v>
      </c>
      <c r="F139" s="42">
        <v>0</v>
      </c>
      <c r="G139" s="42">
        <v>0</v>
      </c>
      <c r="H139" s="42">
        <f>G139+F139+E139</f>
        <v>0</v>
      </c>
      <c r="I139" s="42">
        <f t="shared" si="24"/>
        <v>0</v>
      </c>
      <c r="J139" s="41" t="s">
        <v>184</v>
      </c>
    </row>
    <row r="140" spans="1:10" s="31" customFormat="1" hidden="1" outlineLevel="1" collapsed="1">
      <c r="A140" s="40"/>
      <c r="B140" s="41" t="s">
        <v>185</v>
      </c>
      <c r="C140" s="40"/>
      <c r="D140" s="42"/>
      <c r="E140" s="42"/>
      <c r="F140" s="42"/>
      <c r="G140" s="42"/>
      <c r="H140" s="42"/>
      <c r="I140" s="42"/>
      <c r="J140" s="41"/>
    </row>
    <row r="141" spans="1:10" s="33" customFormat="1" ht="36.950000000000003" hidden="1" customHeight="1" outlineLevel="2">
      <c r="A141" s="43">
        <v>1</v>
      </c>
      <c r="B141" s="41" t="s">
        <v>186</v>
      </c>
      <c r="C141" s="43" t="s">
        <v>100</v>
      </c>
      <c r="D141" s="44">
        <v>2</v>
      </c>
      <c r="E141" s="42">
        <v>0</v>
      </c>
      <c r="F141" s="42">
        <v>0</v>
      </c>
      <c r="G141" s="42">
        <v>0</v>
      </c>
      <c r="H141" s="42">
        <f>G141+F141+E141</f>
        <v>0</v>
      </c>
      <c r="I141" s="42">
        <f>H141*D141</f>
        <v>0</v>
      </c>
      <c r="J141" s="41" t="s">
        <v>187</v>
      </c>
    </row>
    <row r="142" spans="1:10" s="33" customFormat="1" ht="19.899999999999999" hidden="1" customHeight="1" outlineLevel="2">
      <c r="A142" s="43"/>
      <c r="B142" s="41" t="s">
        <v>113</v>
      </c>
      <c r="C142" s="43"/>
      <c r="D142" s="44"/>
      <c r="E142" s="42"/>
      <c r="F142" s="42"/>
      <c r="G142" s="42"/>
      <c r="H142" s="42"/>
      <c r="I142" s="42">
        <f>SUM(I126:I141)</f>
        <v>0</v>
      </c>
      <c r="J142" s="41"/>
    </row>
    <row r="143" spans="1:10" s="30" customFormat="1" collapsed="1">
      <c r="A143" s="37" t="s">
        <v>188</v>
      </c>
      <c r="B143" s="38" t="s">
        <v>189</v>
      </c>
      <c r="C143" s="37"/>
      <c r="D143" s="39"/>
      <c r="E143" s="39"/>
      <c r="F143" s="39"/>
      <c r="G143" s="39"/>
      <c r="H143" s="39"/>
      <c r="I143" s="39"/>
      <c r="J143" s="38"/>
    </row>
    <row r="144" spans="1:10" s="31" customFormat="1" hidden="1" outlineLevel="1">
      <c r="A144" s="40"/>
      <c r="B144" s="41" t="s">
        <v>86</v>
      </c>
      <c r="C144" s="40"/>
      <c r="D144" s="42"/>
      <c r="E144" s="42"/>
      <c r="F144" s="42"/>
      <c r="G144" s="42"/>
      <c r="H144" s="42"/>
      <c r="I144" s="42"/>
      <c r="J144" s="41"/>
    </row>
    <row r="145" spans="1:10" s="31" customFormat="1" ht="67.5" hidden="1" outlineLevel="2">
      <c r="A145" s="40">
        <v>1</v>
      </c>
      <c r="B145" s="41" t="s">
        <v>87</v>
      </c>
      <c r="C145" s="40" t="s">
        <v>88</v>
      </c>
      <c r="D145" s="42">
        <v>12.28</v>
      </c>
      <c r="E145" s="42">
        <v>0</v>
      </c>
      <c r="F145" s="42">
        <v>0</v>
      </c>
      <c r="G145" s="42">
        <v>0</v>
      </c>
      <c r="H145" s="42">
        <f t="shared" ref="H145:H148" si="25">E145+F145+G145</f>
        <v>0</v>
      </c>
      <c r="I145" s="42">
        <f t="shared" ref="I145:I148" si="26">H145*D145</f>
        <v>0</v>
      </c>
      <c r="J145" s="41" t="s">
        <v>89</v>
      </c>
    </row>
    <row r="146" spans="1:10" s="31" customFormat="1" ht="67.5" hidden="1" outlineLevel="2">
      <c r="A146" s="40">
        <v>2</v>
      </c>
      <c r="B146" s="41" t="s">
        <v>134</v>
      </c>
      <c r="C146" s="40" t="s">
        <v>88</v>
      </c>
      <c r="D146" s="42">
        <v>12.28</v>
      </c>
      <c r="E146" s="42">
        <v>0</v>
      </c>
      <c r="F146" s="42">
        <v>0</v>
      </c>
      <c r="G146" s="42">
        <v>0</v>
      </c>
      <c r="H146" s="42">
        <f t="shared" si="25"/>
        <v>0</v>
      </c>
      <c r="I146" s="42">
        <f t="shared" si="26"/>
        <v>0</v>
      </c>
      <c r="J146" s="41" t="s">
        <v>135</v>
      </c>
    </row>
    <row r="147" spans="1:10" s="31" customFormat="1" ht="56.25" hidden="1" outlineLevel="2">
      <c r="A147" s="40">
        <v>3</v>
      </c>
      <c r="B147" s="41" t="s">
        <v>94</v>
      </c>
      <c r="C147" s="40" t="s">
        <v>95</v>
      </c>
      <c r="D147" s="42">
        <v>16.89</v>
      </c>
      <c r="E147" s="42">
        <v>0</v>
      </c>
      <c r="F147" s="42">
        <v>0</v>
      </c>
      <c r="G147" s="42">
        <v>0</v>
      </c>
      <c r="H147" s="42">
        <f t="shared" si="25"/>
        <v>0</v>
      </c>
      <c r="I147" s="42">
        <f t="shared" si="26"/>
        <v>0</v>
      </c>
      <c r="J147" s="41" t="s">
        <v>148</v>
      </c>
    </row>
    <row r="148" spans="1:10" s="32" customFormat="1" ht="22.5" hidden="1" outlineLevel="2">
      <c r="A148" s="40">
        <v>4</v>
      </c>
      <c r="B148" s="41" t="s">
        <v>190</v>
      </c>
      <c r="C148" s="40" t="s">
        <v>100</v>
      </c>
      <c r="D148" s="42">
        <v>6</v>
      </c>
      <c r="E148" s="42">
        <v>0</v>
      </c>
      <c r="F148" s="42">
        <v>0</v>
      </c>
      <c r="G148" s="42">
        <v>0</v>
      </c>
      <c r="H148" s="42">
        <f t="shared" si="25"/>
        <v>0</v>
      </c>
      <c r="I148" s="42">
        <f t="shared" si="26"/>
        <v>0</v>
      </c>
      <c r="J148" s="41" t="s">
        <v>191</v>
      </c>
    </row>
    <row r="149" spans="1:10" s="31" customFormat="1" hidden="1" outlineLevel="1">
      <c r="A149" s="40"/>
      <c r="B149" s="41" t="s">
        <v>102</v>
      </c>
      <c r="C149" s="40"/>
      <c r="D149" s="42"/>
      <c r="E149" s="42"/>
      <c r="F149" s="42"/>
      <c r="G149" s="42"/>
      <c r="H149" s="42"/>
      <c r="I149" s="42"/>
      <c r="J149" s="41"/>
    </row>
    <row r="150" spans="1:10" s="33" customFormat="1" ht="67.5" hidden="1" outlineLevel="2">
      <c r="A150" s="43">
        <v>1</v>
      </c>
      <c r="B150" s="41" t="s">
        <v>103</v>
      </c>
      <c r="C150" s="43" t="s">
        <v>104</v>
      </c>
      <c r="D150" s="44">
        <f t="shared" ref="D150:D153" si="27">(16.34-0.8)*2.2</f>
        <v>34.19</v>
      </c>
      <c r="E150" s="42">
        <v>0</v>
      </c>
      <c r="F150" s="42">
        <v>0</v>
      </c>
      <c r="G150" s="42">
        <v>0</v>
      </c>
      <c r="H150" s="42">
        <f>E150+F150+G150</f>
        <v>0</v>
      </c>
      <c r="I150" s="42">
        <f>H150*D150</f>
        <v>0</v>
      </c>
      <c r="J150" s="41" t="s">
        <v>105</v>
      </c>
    </row>
    <row r="151" spans="1:10" s="31" customFormat="1" ht="146.25" hidden="1" outlineLevel="2">
      <c r="A151" s="43">
        <v>2</v>
      </c>
      <c r="B151" s="41" t="s">
        <v>106</v>
      </c>
      <c r="C151" s="43" t="s">
        <v>104</v>
      </c>
      <c r="D151" s="44">
        <f t="shared" si="27"/>
        <v>34.19</v>
      </c>
      <c r="E151" s="42">
        <v>0</v>
      </c>
      <c r="F151" s="42">
        <v>0</v>
      </c>
      <c r="G151" s="42">
        <v>0</v>
      </c>
      <c r="H151" s="42">
        <f>E151+F151+G151</f>
        <v>0</v>
      </c>
      <c r="I151" s="42">
        <f>H151*D151</f>
        <v>0</v>
      </c>
      <c r="J151" s="41" t="s">
        <v>172</v>
      </c>
    </row>
    <row r="152" spans="1:10" s="31" customFormat="1" ht="56.25" hidden="1" outlineLevel="2">
      <c r="A152" s="43">
        <v>3</v>
      </c>
      <c r="B152" s="41" t="s">
        <v>173</v>
      </c>
      <c r="C152" s="43" t="s">
        <v>104</v>
      </c>
      <c r="D152" s="44">
        <f t="shared" si="27"/>
        <v>34.19</v>
      </c>
      <c r="E152" s="42">
        <v>0</v>
      </c>
      <c r="F152" s="42">
        <v>0</v>
      </c>
      <c r="G152" s="42">
        <v>0</v>
      </c>
      <c r="H152" s="42">
        <f>E152+F152+G152</f>
        <v>0</v>
      </c>
      <c r="I152" s="42">
        <f>H152*D152</f>
        <v>0</v>
      </c>
      <c r="J152" s="41" t="s">
        <v>174</v>
      </c>
    </row>
    <row r="153" spans="1:10" s="31" customFormat="1" ht="45" hidden="1" outlineLevel="2">
      <c r="A153" s="40">
        <v>4</v>
      </c>
      <c r="B153" s="41" t="s">
        <v>175</v>
      </c>
      <c r="C153" s="43" t="s">
        <v>104</v>
      </c>
      <c r="D153" s="44">
        <f t="shared" si="27"/>
        <v>34.19</v>
      </c>
      <c r="E153" s="42">
        <v>0</v>
      </c>
      <c r="F153" s="42">
        <v>0</v>
      </c>
      <c r="G153" s="42">
        <v>0</v>
      </c>
      <c r="H153" s="42">
        <f>E153+F153+G153</f>
        <v>0</v>
      </c>
      <c r="I153" s="42">
        <f>H153*D153</f>
        <v>0</v>
      </c>
      <c r="J153" s="41" t="s">
        <v>176</v>
      </c>
    </row>
    <row r="154" spans="1:10" s="31" customFormat="1" ht="56.25" hidden="1" outlineLevel="2">
      <c r="A154" s="40">
        <v>5</v>
      </c>
      <c r="B154" s="41" t="s">
        <v>110</v>
      </c>
      <c r="C154" s="40" t="s">
        <v>111</v>
      </c>
      <c r="D154" s="42">
        <v>1</v>
      </c>
      <c r="E154" s="42">
        <v>0</v>
      </c>
      <c r="F154" s="42">
        <v>0</v>
      </c>
      <c r="G154" s="42">
        <v>0</v>
      </c>
      <c r="H154" s="42">
        <f>E154+F154+G154</f>
        <v>0</v>
      </c>
      <c r="I154" s="42">
        <f>H154*D154</f>
        <v>0</v>
      </c>
      <c r="J154" s="41" t="s">
        <v>177</v>
      </c>
    </row>
    <row r="155" spans="1:10" s="31" customFormat="1" hidden="1" outlineLevel="1">
      <c r="A155" s="40"/>
      <c r="B155" s="41" t="s">
        <v>178</v>
      </c>
      <c r="C155" s="40"/>
      <c r="D155" s="42"/>
      <c r="E155" s="42"/>
      <c r="F155" s="42"/>
      <c r="G155" s="42"/>
      <c r="H155" s="42"/>
      <c r="I155" s="42"/>
      <c r="J155" s="41"/>
    </row>
    <row r="156" spans="1:10" s="31" customFormat="1" ht="45" hidden="1" outlineLevel="2">
      <c r="A156" s="40">
        <v>1</v>
      </c>
      <c r="B156" s="41" t="s">
        <v>179</v>
      </c>
      <c r="C156" s="43" t="s">
        <v>104</v>
      </c>
      <c r="D156" s="42">
        <f>12.28*1.2</f>
        <v>14.74</v>
      </c>
      <c r="E156" s="42">
        <v>0</v>
      </c>
      <c r="F156" s="42">
        <v>0</v>
      </c>
      <c r="G156" s="42">
        <v>0</v>
      </c>
      <c r="H156" s="42">
        <f>E156+F156+G156</f>
        <v>0</v>
      </c>
      <c r="I156" s="42">
        <f>H156*D156</f>
        <v>0</v>
      </c>
      <c r="J156" s="41" t="s">
        <v>180</v>
      </c>
    </row>
    <row r="157" spans="1:10" s="31" customFormat="1" ht="56.25" hidden="1" outlineLevel="2">
      <c r="A157" s="40">
        <v>2</v>
      </c>
      <c r="B157" s="41" t="s">
        <v>181</v>
      </c>
      <c r="C157" s="40" t="s">
        <v>88</v>
      </c>
      <c r="D157" s="42">
        <f>12.28*1.2</f>
        <v>14.74</v>
      </c>
      <c r="E157" s="42">
        <v>0</v>
      </c>
      <c r="F157" s="42">
        <v>0</v>
      </c>
      <c r="G157" s="42">
        <v>0</v>
      </c>
      <c r="H157" s="42">
        <f>E157+F157+G157</f>
        <v>0</v>
      </c>
      <c r="I157" s="42">
        <f>H157*D157</f>
        <v>0</v>
      </c>
      <c r="J157" s="41" t="s">
        <v>182</v>
      </c>
    </row>
    <row r="158" spans="1:10" s="33" customFormat="1" ht="36.950000000000003" hidden="1" customHeight="1" outlineLevel="2">
      <c r="A158" s="43">
        <v>3</v>
      </c>
      <c r="B158" s="41" t="s">
        <v>183</v>
      </c>
      <c r="C158" s="43" t="s">
        <v>100</v>
      </c>
      <c r="D158" s="44">
        <v>1</v>
      </c>
      <c r="E158" s="42">
        <v>0</v>
      </c>
      <c r="F158" s="42">
        <v>0</v>
      </c>
      <c r="G158" s="42">
        <v>0</v>
      </c>
      <c r="H158" s="42">
        <f>G158+F158+E158</f>
        <v>0</v>
      </c>
      <c r="I158" s="42">
        <f>H158*D158</f>
        <v>0</v>
      </c>
      <c r="J158" s="41" t="s">
        <v>184</v>
      </c>
    </row>
    <row r="159" spans="1:10" s="31" customFormat="1" hidden="1" outlineLevel="1">
      <c r="A159" s="40"/>
      <c r="B159" s="41" t="s">
        <v>185</v>
      </c>
      <c r="C159" s="40"/>
      <c r="D159" s="42"/>
      <c r="E159" s="42"/>
      <c r="F159" s="42"/>
      <c r="G159" s="42"/>
      <c r="H159" s="42"/>
      <c r="I159" s="42"/>
      <c r="J159" s="41"/>
    </row>
    <row r="160" spans="1:10" s="33" customFormat="1" ht="35.1" hidden="1" customHeight="1" outlineLevel="2">
      <c r="A160" s="43">
        <v>1</v>
      </c>
      <c r="B160" s="41" t="s">
        <v>192</v>
      </c>
      <c r="C160" s="43" t="s">
        <v>100</v>
      </c>
      <c r="D160" s="44">
        <v>6</v>
      </c>
      <c r="E160" s="42">
        <v>0</v>
      </c>
      <c r="F160" s="42">
        <v>0</v>
      </c>
      <c r="G160" s="42">
        <v>0</v>
      </c>
      <c r="H160" s="42">
        <f t="shared" ref="H160:H164" si="28">G160+F160+E160</f>
        <v>0</v>
      </c>
      <c r="I160" s="42">
        <f t="shared" ref="I160:I164" si="29">H160*D160</f>
        <v>0</v>
      </c>
      <c r="J160" s="41" t="s">
        <v>193</v>
      </c>
    </row>
    <row r="161" spans="1:10" s="33" customFormat="1" ht="36.950000000000003" hidden="1" customHeight="1" outlineLevel="2">
      <c r="A161" s="43">
        <v>2</v>
      </c>
      <c r="B161" s="41" t="s">
        <v>194</v>
      </c>
      <c r="C161" s="43" t="s">
        <v>100</v>
      </c>
      <c r="D161" s="44">
        <v>1</v>
      </c>
      <c r="E161" s="42">
        <v>0</v>
      </c>
      <c r="F161" s="42">
        <v>0</v>
      </c>
      <c r="G161" s="42">
        <v>0</v>
      </c>
      <c r="H161" s="42">
        <f t="shared" si="28"/>
        <v>0</v>
      </c>
      <c r="I161" s="42">
        <f t="shared" si="29"/>
        <v>0</v>
      </c>
      <c r="J161" s="41" t="s">
        <v>195</v>
      </c>
    </row>
    <row r="162" spans="1:10" s="33" customFormat="1" ht="36.950000000000003" hidden="1" customHeight="1" outlineLevel="2">
      <c r="A162" s="43">
        <v>3</v>
      </c>
      <c r="B162" s="41" t="s">
        <v>196</v>
      </c>
      <c r="C162" s="43" t="s">
        <v>197</v>
      </c>
      <c r="D162" s="44">
        <v>1</v>
      </c>
      <c r="E162" s="42">
        <v>0</v>
      </c>
      <c r="F162" s="42">
        <v>0</v>
      </c>
      <c r="G162" s="42">
        <v>0</v>
      </c>
      <c r="H162" s="42">
        <f t="shared" si="28"/>
        <v>0</v>
      </c>
      <c r="I162" s="42">
        <f t="shared" si="29"/>
        <v>0</v>
      </c>
      <c r="J162" s="41" t="s">
        <v>198</v>
      </c>
    </row>
    <row r="163" spans="1:10" s="33" customFormat="1" ht="36.950000000000003" hidden="1" customHeight="1" outlineLevel="2">
      <c r="A163" s="43">
        <v>4</v>
      </c>
      <c r="B163" s="41" t="s">
        <v>199</v>
      </c>
      <c r="C163" s="43" t="s">
        <v>100</v>
      </c>
      <c r="D163" s="44">
        <v>6</v>
      </c>
      <c r="E163" s="42">
        <v>0</v>
      </c>
      <c r="F163" s="42">
        <v>0</v>
      </c>
      <c r="G163" s="42">
        <v>0</v>
      </c>
      <c r="H163" s="42">
        <f t="shared" si="28"/>
        <v>0</v>
      </c>
      <c r="I163" s="42">
        <f t="shared" si="29"/>
        <v>0</v>
      </c>
      <c r="J163" s="41" t="s">
        <v>200</v>
      </c>
    </row>
    <row r="164" spans="1:10" s="33" customFormat="1" ht="36.950000000000003" hidden="1" customHeight="1" outlineLevel="2">
      <c r="A164" s="43">
        <v>5</v>
      </c>
      <c r="B164" s="41" t="s">
        <v>201</v>
      </c>
      <c r="C164" s="43" t="s">
        <v>100</v>
      </c>
      <c r="D164" s="44">
        <v>6</v>
      </c>
      <c r="E164" s="42">
        <v>0</v>
      </c>
      <c r="F164" s="42">
        <v>0</v>
      </c>
      <c r="G164" s="42">
        <v>0</v>
      </c>
      <c r="H164" s="42">
        <f t="shared" si="28"/>
        <v>0</v>
      </c>
      <c r="I164" s="42">
        <f t="shared" si="29"/>
        <v>0</v>
      </c>
      <c r="J164" s="41" t="s">
        <v>202</v>
      </c>
    </row>
    <row r="165" spans="1:10" s="33" customFormat="1" ht="19.899999999999999" hidden="1" customHeight="1" outlineLevel="2">
      <c r="A165" s="43"/>
      <c r="B165" s="41" t="s">
        <v>113</v>
      </c>
      <c r="C165" s="43"/>
      <c r="D165" s="44"/>
      <c r="E165" s="42"/>
      <c r="F165" s="42"/>
      <c r="G165" s="42"/>
      <c r="H165" s="42"/>
      <c r="I165" s="42">
        <f>SUM(I145:I163)</f>
        <v>0</v>
      </c>
      <c r="J165" s="41"/>
    </row>
    <row r="166" spans="1:10" s="30" customFormat="1" collapsed="1">
      <c r="A166" s="37" t="s">
        <v>203</v>
      </c>
      <c r="B166" s="38" t="s">
        <v>204</v>
      </c>
      <c r="C166" s="37"/>
      <c r="D166" s="39"/>
      <c r="E166" s="39"/>
      <c r="F166" s="39"/>
      <c r="G166" s="39"/>
      <c r="H166" s="39"/>
      <c r="I166" s="39"/>
      <c r="J166" s="38"/>
    </row>
    <row r="167" spans="1:10" s="31" customFormat="1" hidden="1" outlineLevel="1">
      <c r="A167" s="40"/>
      <c r="B167" s="41" t="s">
        <v>86</v>
      </c>
      <c r="C167" s="40"/>
      <c r="D167" s="42"/>
      <c r="E167" s="42"/>
      <c r="F167" s="42"/>
      <c r="G167" s="42"/>
      <c r="H167" s="42"/>
      <c r="I167" s="42"/>
      <c r="J167" s="41"/>
    </row>
    <row r="168" spans="1:10" s="31" customFormat="1" ht="67.5" hidden="1" outlineLevel="2">
      <c r="A168" s="40">
        <v>1</v>
      </c>
      <c r="B168" s="41" t="s">
        <v>87</v>
      </c>
      <c r="C168" s="40" t="s">
        <v>88</v>
      </c>
      <c r="D168" s="42">
        <v>4.8</v>
      </c>
      <c r="E168" s="42">
        <v>0</v>
      </c>
      <c r="F168" s="42">
        <v>0</v>
      </c>
      <c r="G168" s="42">
        <v>0</v>
      </c>
      <c r="H168" s="42">
        <f t="shared" ref="H168:H171" si="30">E168+F168+G168</f>
        <v>0</v>
      </c>
      <c r="I168" s="42">
        <f t="shared" ref="I168:I171" si="31">H168*D168</f>
        <v>0</v>
      </c>
      <c r="J168" s="41" t="s">
        <v>89</v>
      </c>
    </row>
    <row r="169" spans="1:10" s="31" customFormat="1" ht="67.5" hidden="1" outlineLevel="2">
      <c r="A169" s="40">
        <v>2</v>
      </c>
      <c r="B169" s="41" t="s">
        <v>134</v>
      </c>
      <c r="C169" s="40" t="s">
        <v>88</v>
      </c>
      <c r="D169" s="42">
        <v>4.8</v>
      </c>
      <c r="E169" s="42">
        <v>0</v>
      </c>
      <c r="F169" s="42">
        <v>0</v>
      </c>
      <c r="G169" s="42">
        <v>0</v>
      </c>
      <c r="H169" s="42">
        <f t="shared" si="30"/>
        <v>0</v>
      </c>
      <c r="I169" s="42">
        <f t="shared" si="31"/>
        <v>0</v>
      </c>
      <c r="J169" s="41" t="s">
        <v>135</v>
      </c>
    </row>
    <row r="170" spans="1:10" s="31" customFormat="1" ht="56.25" hidden="1" outlineLevel="2">
      <c r="A170" s="40">
        <v>3</v>
      </c>
      <c r="B170" s="41" t="s">
        <v>94</v>
      </c>
      <c r="C170" s="40" t="s">
        <v>95</v>
      </c>
      <c r="D170" s="42">
        <v>8.8000000000000007</v>
      </c>
      <c r="E170" s="42">
        <v>0</v>
      </c>
      <c r="F170" s="42">
        <v>0</v>
      </c>
      <c r="G170" s="42">
        <v>0</v>
      </c>
      <c r="H170" s="42">
        <f t="shared" si="30"/>
        <v>0</v>
      </c>
      <c r="I170" s="42">
        <f t="shared" si="31"/>
        <v>0</v>
      </c>
      <c r="J170" s="41" t="s">
        <v>148</v>
      </c>
    </row>
    <row r="171" spans="1:10" s="32" customFormat="1" ht="22.5" hidden="1" outlineLevel="2">
      <c r="A171" s="40">
        <v>4</v>
      </c>
      <c r="B171" s="41" t="s">
        <v>190</v>
      </c>
      <c r="C171" s="40" t="s">
        <v>100</v>
      </c>
      <c r="D171" s="42">
        <v>6</v>
      </c>
      <c r="E171" s="42">
        <v>0</v>
      </c>
      <c r="F171" s="42">
        <v>0</v>
      </c>
      <c r="G171" s="42">
        <v>0</v>
      </c>
      <c r="H171" s="42">
        <f t="shared" si="30"/>
        <v>0</v>
      </c>
      <c r="I171" s="42">
        <f t="shared" si="31"/>
        <v>0</v>
      </c>
      <c r="J171" s="41" t="s">
        <v>191</v>
      </c>
    </row>
    <row r="172" spans="1:10" s="31" customFormat="1" hidden="1" outlineLevel="1">
      <c r="A172" s="40"/>
      <c r="B172" s="41" t="s">
        <v>102</v>
      </c>
      <c r="C172" s="40"/>
      <c r="D172" s="42"/>
      <c r="E172" s="42"/>
      <c r="F172" s="42"/>
      <c r="G172" s="42"/>
      <c r="H172" s="42"/>
      <c r="I172" s="42"/>
      <c r="J172" s="41"/>
    </row>
    <row r="173" spans="1:10" s="33" customFormat="1" ht="67.5" hidden="1" outlineLevel="2">
      <c r="A173" s="43">
        <v>1</v>
      </c>
      <c r="B173" s="41" t="s">
        <v>103</v>
      </c>
      <c r="C173" s="43" t="s">
        <v>104</v>
      </c>
      <c r="D173" s="44">
        <f t="shared" ref="D173:D176" si="32">8*2.2</f>
        <v>17.600000000000001</v>
      </c>
      <c r="E173" s="42">
        <v>0</v>
      </c>
      <c r="F173" s="42">
        <v>0</v>
      </c>
      <c r="G173" s="42">
        <v>0</v>
      </c>
      <c r="H173" s="42">
        <f>E173+F173+G173</f>
        <v>0</v>
      </c>
      <c r="I173" s="42">
        <f>H173*D173</f>
        <v>0</v>
      </c>
      <c r="J173" s="41" t="s">
        <v>105</v>
      </c>
    </row>
    <row r="174" spans="1:10" s="31" customFormat="1" ht="146.25" hidden="1" outlineLevel="2">
      <c r="A174" s="43">
        <v>2</v>
      </c>
      <c r="B174" s="41" t="s">
        <v>106</v>
      </c>
      <c r="C174" s="43" t="s">
        <v>104</v>
      </c>
      <c r="D174" s="44">
        <f t="shared" si="32"/>
        <v>17.600000000000001</v>
      </c>
      <c r="E174" s="42">
        <v>0</v>
      </c>
      <c r="F174" s="42">
        <v>0</v>
      </c>
      <c r="G174" s="42">
        <v>0</v>
      </c>
      <c r="H174" s="42">
        <f>E174+F174+G174</f>
        <v>0</v>
      </c>
      <c r="I174" s="42">
        <f>H174*D174</f>
        <v>0</v>
      </c>
      <c r="J174" s="41" t="s">
        <v>172</v>
      </c>
    </row>
    <row r="175" spans="1:10" s="31" customFormat="1" ht="56.25" hidden="1" outlineLevel="2">
      <c r="A175" s="43">
        <v>3</v>
      </c>
      <c r="B175" s="41" t="s">
        <v>173</v>
      </c>
      <c r="C175" s="43" t="s">
        <v>104</v>
      </c>
      <c r="D175" s="44">
        <f t="shared" si="32"/>
        <v>17.600000000000001</v>
      </c>
      <c r="E175" s="42">
        <v>0</v>
      </c>
      <c r="F175" s="42">
        <v>0</v>
      </c>
      <c r="G175" s="42">
        <v>0</v>
      </c>
      <c r="H175" s="42">
        <f>E175+F175+G175</f>
        <v>0</v>
      </c>
      <c r="I175" s="42">
        <f>H175*D175</f>
        <v>0</v>
      </c>
      <c r="J175" s="41" t="s">
        <v>174</v>
      </c>
    </row>
    <row r="176" spans="1:10" s="31" customFormat="1" ht="45" hidden="1" outlineLevel="2">
      <c r="A176" s="40">
        <v>4</v>
      </c>
      <c r="B176" s="41" t="s">
        <v>175</v>
      </c>
      <c r="C176" s="43" t="s">
        <v>104</v>
      </c>
      <c r="D176" s="44">
        <f t="shared" si="32"/>
        <v>17.600000000000001</v>
      </c>
      <c r="E176" s="42">
        <v>0</v>
      </c>
      <c r="F176" s="42">
        <v>0</v>
      </c>
      <c r="G176" s="42">
        <v>0</v>
      </c>
      <c r="H176" s="42">
        <f>E176+F176+G176</f>
        <v>0</v>
      </c>
      <c r="I176" s="42">
        <f>H176*D176</f>
        <v>0</v>
      </c>
      <c r="J176" s="41" t="s">
        <v>176</v>
      </c>
    </row>
    <row r="177" spans="1:10" s="31" customFormat="1" ht="56.25" hidden="1" outlineLevel="2">
      <c r="A177" s="40">
        <v>5</v>
      </c>
      <c r="B177" s="41" t="s">
        <v>120</v>
      </c>
      <c r="C177" s="40" t="s">
        <v>111</v>
      </c>
      <c r="D177" s="42">
        <v>1</v>
      </c>
      <c r="E177" s="42">
        <v>0</v>
      </c>
      <c r="F177" s="42">
        <v>0</v>
      </c>
      <c r="G177" s="42">
        <v>0</v>
      </c>
      <c r="H177" s="42">
        <f>E177+F177+G177</f>
        <v>0</v>
      </c>
      <c r="I177" s="42">
        <f>H177*D177</f>
        <v>0</v>
      </c>
      <c r="J177" s="41" t="s">
        <v>177</v>
      </c>
    </row>
    <row r="178" spans="1:10" s="31" customFormat="1" hidden="1" outlineLevel="1">
      <c r="A178" s="40"/>
      <c r="B178" s="41" t="s">
        <v>178</v>
      </c>
      <c r="C178" s="40"/>
      <c r="D178" s="42"/>
      <c r="E178" s="42"/>
      <c r="F178" s="42"/>
      <c r="G178" s="42"/>
      <c r="H178" s="42"/>
      <c r="I178" s="42"/>
      <c r="J178" s="41"/>
    </row>
    <row r="179" spans="1:10" s="31" customFormat="1" ht="45" hidden="1" outlineLevel="2">
      <c r="A179" s="40">
        <v>1</v>
      </c>
      <c r="B179" s="41" t="s">
        <v>179</v>
      </c>
      <c r="C179" s="43" t="s">
        <v>104</v>
      </c>
      <c r="D179" s="42">
        <f>4.8*1.2</f>
        <v>5.76</v>
      </c>
      <c r="E179" s="42">
        <v>0</v>
      </c>
      <c r="F179" s="42">
        <v>0</v>
      </c>
      <c r="G179" s="42">
        <v>0</v>
      </c>
      <c r="H179" s="42">
        <f>E179+F179+G179</f>
        <v>0</v>
      </c>
      <c r="I179" s="42">
        <f>H179*D179</f>
        <v>0</v>
      </c>
      <c r="J179" s="41" t="s">
        <v>180</v>
      </c>
    </row>
    <row r="180" spans="1:10" s="31" customFormat="1" ht="56.25" hidden="1" outlineLevel="2">
      <c r="A180" s="40">
        <v>2</v>
      </c>
      <c r="B180" s="41" t="s">
        <v>181</v>
      </c>
      <c r="C180" s="40" t="s">
        <v>88</v>
      </c>
      <c r="D180" s="42">
        <v>5.76</v>
      </c>
      <c r="E180" s="42">
        <v>0</v>
      </c>
      <c r="F180" s="42">
        <v>0</v>
      </c>
      <c r="G180" s="42">
        <v>0</v>
      </c>
      <c r="H180" s="42">
        <f>E180+F180+G180</f>
        <v>0</v>
      </c>
      <c r="I180" s="42">
        <f>H180*D180</f>
        <v>0</v>
      </c>
      <c r="J180" s="41" t="s">
        <v>182</v>
      </c>
    </row>
    <row r="181" spans="1:10" s="33" customFormat="1" ht="36.950000000000003" hidden="1" customHeight="1" outlineLevel="2">
      <c r="A181" s="43">
        <v>3</v>
      </c>
      <c r="B181" s="41" t="s">
        <v>183</v>
      </c>
      <c r="C181" s="43" t="s">
        <v>100</v>
      </c>
      <c r="D181" s="44">
        <v>1</v>
      </c>
      <c r="E181" s="42">
        <v>0</v>
      </c>
      <c r="F181" s="42">
        <v>0</v>
      </c>
      <c r="G181" s="42">
        <v>0</v>
      </c>
      <c r="H181" s="42">
        <f>G181+F181+E181</f>
        <v>0</v>
      </c>
      <c r="I181" s="42">
        <f>H181*D181</f>
        <v>0</v>
      </c>
      <c r="J181" s="41" t="s">
        <v>184</v>
      </c>
    </row>
    <row r="182" spans="1:10" s="31" customFormat="1" hidden="1" outlineLevel="1">
      <c r="A182" s="40"/>
      <c r="B182" s="41" t="s">
        <v>185</v>
      </c>
      <c r="C182" s="40"/>
      <c r="D182" s="42"/>
      <c r="E182" s="42"/>
      <c r="F182" s="42"/>
      <c r="G182" s="42"/>
      <c r="H182" s="42"/>
      <c r="I182" s="42"/>
      <c r="J182" s="41"/>
    </row>
    <row r="183" spans="1:10" s="33" customFormat="1" ht="35.1" hidden="1" customHeight="1" outlineLevel="2">
      <c r="A183" s="43">
        <v>1</v>
      </c>
      <c r="B183" s="41" t="s">
        <v>192</v>
      </c>
      <c r="C183" s="43" t="s">
        <v>100</v>
      </c>
      <c r="D183" s="44">
        <v>2</v>
      </c>
      <c r="E183" s="42">
        <v>0</v>
      </c>
      <c r="F183" s="42">
        <v>0</v>
      </c>
      <c r="G183" s="42">
        <v>0</v>
      </c>
      <c r="H183" s="42">
        <f t="shared" ref="H183:H187" si="33">G183+F183+E183</f>
        <v>0</v>
      </c>
      <c r="I183" s="42">
        <f t="shared" ref="I183:I187" si="34">H183*D183</f>
        <v>0</v>
      </c>
      <c r="J183" s="41" t="s">
        <v>205</v>
      </c>
    </row>
    <row r="184" spans="1:10" s="33" customFormat="1" ht="36.950000000000003" hidden="1" customHeight="1" outlineLevel="2">
      <c r="A184" s="43">
        <v>2</v>
      </c>
      <c r="B184" s="41" t="s">
        <v>194</v>
      </c>
      <c r="C184" s="43" t="s">
        <v>100</v>
      </c>
      <c r="D184" s="44">
        <v>1</v>
      </c>
      <c r="E184" s="42">
        <v>0</v>
      </c>
      <c r="F184" s="42">
        <v>0</v>
      </c>
      <c r="G184" s="42">
        <v>0</v>
      </c>
      <c r="H184" s="42">
        <f t="shared" si="33"/>
        <v>0</v>
      </c>
      <c r="I184" s="42">
        <f t="shared" si="34"/>
        <v>0</v>
      </c>
      <c r="J184" s="41" t="s">
        <v>195</v>
      </c>
    </row>
    <row r="185" spans="1:10" s="33" customFormat="1" ht="36.950000000000003" hidden="1" customHeight="1" outlineLevel="2">
      <c r="A185" s="43">
        <v>3</v>
      </c>
      <c r="B185" s="41" t="s">
        <v>196</v>
      </c>
      <c r="C185" s="43" t="s">
        <v>197</v>
      </c>
      <c r="D185" s="44">
        <v>1</v>
      </c>
      <c r="E185" s="42">
        <v>0</v>
      </c>
      <c r="F185" s="42">
        <v>0</v>
      </c>
      <c r="G185" s="42">
        <v>0</v>
      </c>
      <c r="H185" s="42">
        <f t="shared" si="33"/>
        <v>0</v>
      </c>
      <c r="I185" s="42">
        <f t="shared" si="34"/>
        <v>0</v>
      </c>
      <c r="J185" s="41" t="s">
        <v>198</v>
      </c>
    </row>
    <row r="186" spans="1:10" s="33" customFormat="1" ht="36.950000000000003" hidden="1" customHeight="1" outlineLevel="2">
      <c r="A186" s="43">
        <v>4</v>
      </c>
      <c r="B186" s="41" t="s">
        <v>199</v>
      </c>
      <c r="C186" s="43" t="s">
        <v>100</v>
      </c>
      <c r="D186" s="44">
        <v>2</v>
      </c>
      <c r="E186" s="42">
        <v>0</v>
      </c>
      <c r="F186" s="42">
        <v>0</v>
      </c>
      <c r="G186" s="42">
        <v>0</v>
      </c>
      <c r="H186" s="42">
        <f t="shared" si="33"/>
        <v>0</v>
      </c>
      <c r="I186" s="42">
        <f t="shared" si="34"/>
        <v>0</v>
      </c>
      <c r="J186" s="41" t="s">
        <v>200</v>
      </c>
    </row>
    <row r="187" spans="1:10" s="33" customFormat="1" ht="36.950000000000003" hidden="1" customHeight="1" outlineLevel="2">
      <c r="A187" s="43">
        <v>5</v>
      </c>
      <c r="B187" s="41" t="s">
        <v>201</v>
      </c>
      <c r="C187" s="43" t="s">
        <v>100</v>
      </c>
      <c r="D187" s="44">
        <v>2</v>
      </c>
      <c r="E187" s="42">
        <v>0</v>
      </c>
      <c r="F187" s="42">
        <v>0</v>
      </c>
      <c r="G187" s="42">
        <v>0</v>
      </c>
      <c r="H187" s="42">
        <f t="shared" si="33"/>
        <v>0</v>
      </c>
      <c r="I187" s="42">
        <f t="shared" si="34"/>
        <v>0</v>
      </c>
      <c r="J187" s="41" t="s">
        <v>202</v>
      </c>
    </row>
    <row r="188" spans="1:10" s="33" customFormat="1" ht="19.899999999999999" hidden="1" customHeight="1" outlineLevel="2">
      <c r="A188" s="43"/>
      <c r="B188" s="41" t="s">
        <v>113</v>
      </c>
      <c r="C188" s="43"/>
      <c r="D188" s="44"/>
      <c r="E188" s="42"/>
      <c r="F188" s="42"/>
      <c r="G188" s="42"/>
      <c r="H188" s="42"/>
      <c r="I188" s="42">
        <f>SUM(I168:I187)</f>
        <v>0</v>
      </c>
      <c r="J188" s="41"/>
    </row>
    <row r="189" spans="1:10" s="30" customFormat="1" collapsed="1">
      <c r="A189" s="37" t="s">
        <v>206</v>
      </c>
      <c r="B189" s="38" t="s">
        <v>207</v>
      </c>
      <c r="C189" s="37"/>
      <c r="D189" s="39"/>
      <c r="E189" s="39"/>
      <c r="F189" s="39"/>
      <c r="G189" s="39"/>
      <c r="H189" s="39"/>
      <c r="I189" s="39"/>
      <c r="J189" s="38"/>
    </row>
    <row r="190" spans="1:10" s="31" customFormat="1" hidden="1" outlineLevel="1" collapsed="1">
      <c r="A190" s="40"/>
      <c r="B190" s="41" t="s">
        <v>86</v>
      </c>
      <c r="C190" s="40"/>
      <c r="D190" s="42"/>
      <c r="E190" s="42"/>
      <c r="F190" s="42"/>
      <c r="G190" s="42"/>
      <c r="H190" s="42"/>
      <c r="I190" s="42"/>
      <c r="J190" s="41"/>
    </row>
    <row r="191" spans="1:10" s="31" customFormat="1" ht="67.5" hidden="1" outlineLevel="2">
      <c r="A191" s="40">
        <v>1</v>
      </c>
      <c r="B191" s="41" t="s">
        <v>87</v>
      </c>
      <c r="C191" s="40" t="s">
        <v>88</v>
      </c>
      <c r="D191" s="42">
        <f>10.38+15.61</f>
        <v>25.99</v>
      </c>
      <c r="E191" s="42">
        <v>0</v>
      </c>
      <c r="F191" s="42">
        <v>0</v>
      </c>
      <c r="G191" s="42">
        <v>0</v>
      </c>
      <c r="H191" s="42">
        <f t="shared" ref="H191:H193" si="35">E191+F191+G191</f>
        <v>0</v>
      </c>
      <c r="I191" s="42">
        <f t="shared" ref="I191:I194" si="36">H191*D191</f>
        <v>0</v>
      </c>
      <c r="J191" s="41" t="s">
        <v>89</v>
      </c>
    </row>
    <row r="192" spans="1:10" s="31" customFormat="1" ht="67.5" hidden="1" outlineLevel="2">
      <c r="A192" s="40">
        <v>2</v>
      </c>
      <c r="B192" s="41" t="s">
        <v>134</v>
      </c>
      <c r="C192" s="40" t="s">
        <v>88</v>
      </c>
      <c r="D192" s="42">
        <f>10.38+15.61</f>
        <v>25.99</v>
      </c>
      <c r="E192" s="42">
        <v>0</v>
      </c>
      <c r="F192" s="42">
        <v>0</v>
      </c>
      <c r="G192" s="42">
        <v>0</v>
      </c>
      <c r="H192" s="42">
        <f t="shared" si="35"/>
        <v>0</v>
      </c>
      <c r="I192" s="42">
        <f t="shared" si="36"/>
        <v>0</v>
      </c>
      <c r="J192" s="41" t="s">
        <v>135</v>
      </c>
    </row>
    <row r="193" spans="1:10" s="31" customFormat="1" ht="56.25" hidden="1" outlineLevel="2">
      <c r="A193" s="40">
        <v>3</v>
      </c>
      <c r="B193" s="41" t="s">
        <v>94</v>
      </c>
      <c r="C193" s="40" t="s">
        <v>95</v>
      </c>
      <c r="D193" s="42">
        <f>13.67+16.73</f>
        <v>30.4</v>
      </c>
      <c r="E193" s="42">
        <v>0</v>
      </c>
      <c r="F193" s="42">
        <v>0</v>
      </c>
      <c r="G193" s="42">
        <v>0</v>
      </c>
      <c r="H193" s="42">
        <f t="shared" si="35"/>
        <v>0</v>
      </c>
      <c r="I193" s="42">
        <f t="shared" si="36"/>
        <v>0</v>
      </c>
      <c r="J193" s="41" t="s">
        <v>148</v>
      </c>
    </row>
    <row r="194" spans="1:10" s="32" customFormat="1" ht="56.25" hidden="1" outlineLevel="2">
      <c r="A194" s="40">
        <v>4</v>
      </c>
      <c r="B194" s="41" t="s">
        <v>99</v>
      </c>
      <c r="C194" s="40" t="s">
        <v>100</v>
      </c>
      <c r="D194" s="42">
        <v>4</v>
      </c>
      <c r="E194" s="42">
        <v>0</v>
      </c>
      <c r="F194" s="42">
        <v>0</v>
      </c>
      <c r="G194" s="42">
        <v>0</v>
      </c>
      <c r="H194" s="42">
        <f t="shared" ref="H194:H200" si="37">E194+F194+G194</f>
        <v>0</v>
      </c>
      <c r="I194" s="42">
        <f t="shared" si="36"/>
        <v>0</v>
      </c>
      <c r="J194" s="41" t="s">
        <v>101</v>
      </c>
    </row>
    <row r="195" spans="1:10" s="31" customFormat="1" hidden="1" outlineLevel="1">
      <c r="A195" s="40"/>
      <c r="B195" s="41" t="s">
        <v>102</v>
      </c>
      <c r="C195" s="40"/>
      <c r="D195" s="42"/>
      <c r="E195" s="42"/>
      <c r="F195" s="42"/>
      <c r="G195" s="42"/>
      <c r="H195" s="42"/>
      <c r="I195" s="42"/>
      <c r="J195" s="41"/>
    </row>
    <row r="196" spans="1:10" s="33" customFormat="1" ht="67.5" hidden="1" outlineLevel="2">
      <c r="A196" s="43">
        <v>1</v>
      </c>
      <c r="B196" s="41" t="s">
        <v>103</v>
      </c>
      <c r="C196" s="43" t="s">
        <v>104</v>
      </c>
      <c r="D196" s="44">
        <f t="shared" ref="D196:D198" si="38">(13.67+16.73-1.6)*2.2</f>
        <v>63.36</v>
      </c>
      <c r="E196" s="42">
        <v>0</v>
      </c>
      <c r="F196" s="42">
        <v>0</v>
      </c>
      <c r="G196" s="42">
        <v>0</v>
      </c>
      <c r="H196" s="42">
        <f t="shared" si="37"/>
        <v>0</v>
      </c>
      <c r="I196" s="42">
        <f>H196*D196</f>
        <v>0</v>
      </c>
      <c r="J196" s="41" t="s">
        <v>105</v>
      </c>
    </row>
    <row r="197" spans="1:10" s="31" customFormat="1" ht="146.25" hidden="1" outlineLevel="2">
      <c r="A197" s="43">
        <v>2</v>
      </c>
      <c r="B197" s="41" t="s">
        <v>106</v>
      </c>
      <c r="C197" s="43" t="s">
        <v>104</v>
      </c>
      <c r="D197" s="44">
        <f t="shared" si="38"/>
        <v>63.36</v>
      </c>
      <c r="E197" s="42">
        <v>0</v>
      </c>
      <c r="F197" s="42">
        <v>0</v>
      </c>
      <c r="G197" s="42">
        <v>0</v>
      </c>
      <c r="H197" s="42">
        <f t="shared" si="37"/>
        <v>0</v>
      </c>
      <c r="I197" s="42">
        <f>H197*D197</f>
        <v>0</v>
      </c>
      <c r="J197" s="41" t="s">
        <v>172</v>
      </c>
    </row>
    <row r="198" spans="1:10" s="31" customFormat="1" ht="56.25" hidden="1" outlineLevel="2">
      <c r="A198" s="43">
        <v>3</v>
      </c>
      <c r="B198" s="41" t="s">
        <v>173</v>
      </c>
      <c r="C198" s="43" t="s">
        <v>104</v>
      </c>
      <c r="D198" s="44">
        <f t="shared" si="38"/>
        <v>63.36</v>
      </c>
      <c r="E198" s="42">
        <v>0</v>
      </c>
      <c r="F198" s="42">
        <v>0</v>
      </c>
      <c r="G198" s="42">
        <v>0</v>
      </c>
      <c r="H198" s="42">
        <f t="shared" si="37"/>
        <v>0</v>
      </c>
      <c r="I198" s="42">
        <f>H198*D198</f>
        <v>0</v>
      </c>
      <c r="J198" s="41" t="s">
        <v>174</v>
      </c>
    </row>
    <row r="199" spans="1:10" s="31" customFormat="1" ht="45" hidden="1" outlineLevel="2">
      <c r="A199" s="40">
        <v>4</v>
      </c>
      <c r="B199" s="41" t="s">
        <v>175</v>
      </c>
      <c r="C199" s="43" t="s">
        <v>104</v>
      </c>
      <c r="D199" s="44">
        <f>28.8*1</f>
        <v>28.8</v>
      </c>
      <c r="E199" s="42">
        <v>0</v>
      </c>
      <c r="F199" s="42">
        <v>0</v>
      </c>
      <c r="G199" s="42">
        <v>0</v>
      </c>
      <c r="H199" s="42">
        <f t="shared" si="37"/>
        <v>0</v>
      </c>
      <c r="I199" s="42">
        <f>H199*D199</f>
        <v>0</v>
      </c>
      <c r="J199" s="41" t="s">
        <v>176</v>
      </c>
    </row>
    <row r="200" spans="1:10" s="31" customFormat="1" ht="56.25" hidden="1" outlineLevel="2">
      <c r="A200" s="40">
        <v>5</v>
      </c>
      <c r="B200" s="41" t="s">
        <v>120</v>
      </c>
      <c r="C200" s="40" t="s">
        <v>111</v>
      </c>
      <c r="D200" s="42">
        <v>2</v>
      </c>
      <c r="E200" s="42">
        <v>0</v>
      </c>
      <c r="F200" s="42">
        <v>0</v>
      </c>
      <c r="G200" s="42">
        <v>0</v>
      </c>
      <c r="H200" s="42">
        <f t="shared" si="37"/>
        <v>0</v>
      </c>
      <c r="I200" s="42">
        <f>H200*D200</f>
        <v>0</v>
      </c>
      <c r="J200" s="41" t="s">
        <v>177</v>
      </c>
    </row>
    <row r="201" spans="1:10" s="31" customFormat="1" hidden="1" outlineLevel="1">
      <c r="A201" s="40"/>
      <c r="B201" s="41" t="s">
        <v>178</v>
      </c>
      <c r="C201" s="40"/>
      <c r="D201" s="42"/>
      <c r="E201" s="42"/>
      <c r="F201" s="42"/>
      <c r="G201" s="42"/>
      <c r="H201" s="42"/>
      <c r="I201" s="42"/>
      <c r="J201" s="41"/>
    </row>
    <row r="202" spans="1:10" s="31" customFormat="1" ht="45" hidden="1" outlineLevel="2">
      <c r="A202" s="40">
        <v>1</v>
      </c>
      <c r="B202" s="41" t="s">
        <v>179</v>
      </c>
      <c r="C202" s="43" t="s">
        <v>104</v>
      </c>
      <c r="D202" s="42">
        <f>25.99*1.2</f>
        <v>31.19</v>
      </c>
      <c r="E202" s="42">
        <v>0</v>
      </c>
      <c r="F202" s="42">
        <v>0</v>
      </c>
      <c r="G202" s="42">
        <v>0</v>
      </c>
      <c r="H202" s="42">
        <f>E202+F202+G202</f>
        <v>0</v>
      </c>
      <c r="I202" s="42">
        <f>H202*D202</f>
        <v>0</v>
      </c>
      <c r="J202" s="41" t="s">
        <v>180</v>
      </c>
    </row>
    <row r="203" spans="1:10" s="31" customFormat="1" ht="56.25" hidden="1" outlineLevel="2">
      <c r="A203" s="40">
        <v>2</v>
      </c>
      <c r="B203" s="41" t="s">
        <v>181</v>
      </c>
      <c r="C203" s="40" t="s">
        <v>88</v>
      </c>
      <c r="D203" s="42">
        <f>10.38+15.61</f>
        <v>25.99</v>
      </c>
      <c r="E203" s="42">
        <v>0</v>
      </c>
      <c r="F203" s="42">
        <v>0</v>
      </c>
      <c r="G203" s="42">
        <v>0</v>
      </c>
      <c r="H203" s="42">
        <f>E203+F203+G203</f>
        <v>0</v>
      </c>
      <c r="I203" s="42">
        <f>H203*D203</f>
        <v>0</v>
      </c>
      <c r="J203" s="41" t="s">
        <v>182</v>
      </c>
    </row>
    <row r="204" spans="1:10" s="33" customFormat="1" ht="36.950000000000003" hidden="1" customHeight="1" outlineLevel="2">
      <c r="A204" s="43">
        <v>3</v>
      </c>
      <c r="B204" s="41" t="s">
        <v>183</v>
      </c>
      <c r="C204" s="43" t="s">
        <v>100</v>
      </c>
      <c r="D204" s="44">
        <v>4</v>
      </c>
      <c r="E204" s="42">
        <v>0</v>
      </c>
      <c r="F204" s="42">
        <v>0</v>
      </c>
      <c r="G204" s="42">
        <v>0</v>
      </c>
      <c r="H204" s="42">
        <f>G204+F204+E204</f>
        <v>0</v>
      </c>
      <c r="I204" s="42">
        <f>H204*D204</f>
        <v>0</v>
      </c>
      <c r="J204" s="41" t="s">
        <v>184</v>
      </c>
    </row>
    <row r="205" spans="1:10" s="31" customFormat="1" hidden="1" outlineLevel="1">
      <c r="A205" s="40"/>
      <c r="B205" s="41" t="s">
        <v>185</v>
      </c>
      <c r="C205" s="40"/>
      <c r="D205" s="42"/>
      <c r="E205" s="42"/>
      <c r="F205" s="42"/>
      <c r="G205" s="42"/>
      <c r="H205" s="42"/>
      <c r="I205" s="42"/>
      <c r="J205" s="41"/>
    </row>
    <row r="206" spans="1:10" s="33" customFormat="1" ht="36.950000000000003" hidden="1" customHeight="1" outlineLevel="2">
      <c r="A206" s="43">
        <v>1</v>
      </c>
      <c r="B206" s="41" t="s">
        <v>199</v>
      </c>
      <c r="C206" s="43" t="s">
        <v>100</v>
      </c>
      <c r="D206" s="44">
        <v>2</v>
      </c>
      <c r="E206" s="42">
        <v>0</v>
      </c>
      <c r="F206" s="42">
        <v>0</v>
      </c>
      <c r="G206" s="42">
        <v>0</v>
      </c>
      <c r="H206" s="42">
        <f>G206+F206+E206</f>
        <v>0</v>
      </c>
      <c r="I206" s="42">
        <f>H206*D206</f>
        <v>0</v>
      </c>
      <c r="J206" s="41" t="s">
        <v>200</v>
      </c>
    </row>
    <row r="207" spans="1:10" s="33" customFormat="1" ht="36.950000000000003" hidden="1" customHeight="1" outlineLevel="2">
      <c r="A207" s="43">
        <v>2</v>
      </c>
      <c r="B207" s="41" t="s">
        <v>208</v>
      </c>
      <c r="C207" s="43" t="s">
        <v>100</v>
      </c>
      <c r="D207" s="44">
        <v>2</v>
      </c>
      <c r="E207" s="42">
        <v>0</v>
      </c>
      <c r="F207" s="42">
        <v>0</v>
      </c>
      <c r="G207" s="42">
        <v>0</v>
      </c>
      <c r="H207" s="42">
        <f>G207+F207+E207</f>
        <v>0</v>
      </c>
      <c r="I207" s="42">
        <f>H207*D207</f>
        <v>0</v>
      </c>
      <c r="J207" s="41" t="s">
        <v>209</v>
      </c>
    </row>
    <row r="208" spans="1:10" s="33" customFormat="1" ht="19.899999999999999" hidden="1" customHeight="1" outlineLevel="2">
      <c r="A208" s="43"/>
      <c r="B208" s="41" t="s">
        <v>113</v>
      </c>
      <c r="C208" s="43"/>
      <c r="D208" s="44"/>
      <c r="E208" s="42"/>
      <c r="F208" s="42"/>
      <c r="G208" s="42"/>
      <c r="H208" s="42"/>
      <c r="I208" s="42">
        <f>SUM(I191:I207)</f>
        <v>0</v>
      </c>
      <c r="J208" s="41"/>
    </row>
    <row r="209" spans="1:10" s="30" customFormat="1" collapsed="1">
      <c r="A209" s="37" t="s">
        <v>206</v>
      </c>
      <c r="B209" s="38" t="s">
        <v>210</v>
      </c>
      <c r="C209" s="37"/>
      <c r="D209" s="39"/>
      <c r="E209" s="39"/>
      <c r="F209" s="39"/>
      <c r="G209" s="39"/>
      <c r="H209" s="39"/>
      <c r="I209" s="39"/>
      <c r="J209" s="38"/>
    </row>
    <row r="210" spans="1:10" s="31" customFormat="1" hidden="1" outlineLevel="1">
      <c r="A210" s="40"/>
      <c r="B210" s="41" t="s">
        <v>86</v>
      </c>
      <c r="C210" s="40"/>
      <c r="D210" s="42"/>
      <c r="E210" s="42"/>
      <c r="F210" s="42"/>
      <c r="G210" s="42"/>
      <c r="H210" s="42"/>
      <c r="I210" s="42"/>
      <c r="J210" s="41"/>
    </row>
    <row r="211" spans="1:10" s="31" customFormat="1" ht="67.5" hidden="1" outlineLevel="2">
      <c r="A211" s="40">
        <v>1</v>
      </c>
      <c r="B211" s="41" t="s">
        <v>87</v>
      </c>
      <c r="C211" s="40" t="s">
        <v>88</v>
      </c>
      <c r="D211" s="42">
        <v>38.15</v>
      </c>
      <c r="E211" s="42">
        <v>0</v>
      </c>
      <c r="F211" s="42">
        <v>0</v>
      </c>
      <c r="G211" s="42">
        <v>0</v>
      </c>
      <c r="H211" s="42">
        <f t="shared" ref="H211:H213" si="39">E211+F211+G211</f>
        <v>0</v>
      </c>
      <c r="I211" s="42">
        <f>H211*D211</f>
        <v>0</v>
      </c>
      <c r="J211" s="41" t="s">
        <v>89</v>
      </c>
    </row>
    <row r="212" spans="1:10" s="31" customFormat="1" ht="67.5" hidden="1" outlineLevel="2">
      <c r="A212" s="40">
        <v>2</v>
      </c>
      <c r="B212" s="41" t="s">
        <v>134</v>
      </c>
      <c r="C212" s="40" t="s">
        <v>88</v>
      </c>
      <c r="D212" s="42">
        <v>38.15</v>
      </c>
      <c r="E212" s="42">
        <v>0</v>
      </c>
      <c r="F212" s="42">
        <v>0</v>
      </c>
      <c r="G212" s="42">
        <v>0</v>
      </c>
      <c r="H212" s="42">
        <f t="shared" si="39"/>
        <v>0</v>
      </c>
      <c r="I212" s="42">
        <f>H212*D212</f>
        <v>0</v>
      </c>
      <c r="J212" s="41" t="s">
        <v>135</v>
      </c>
    </row>
    <row r="213" spans="1:10" s="31" customFormat="1" ht="56.25" hidden="1" outlineLevel="2">
      <c r="A213" s="40">
        <v>3</v>
      </c>
      <c r="B213" s="41" t="s">
        <v>94</v>
      </c>
      <c r="C213" s="40" t="s">
        <v>95</v>
      </c>
      <c r="D213" s="42">
        <v>25.6</v>
      </c>
      <c r="E213" s="42">
        <v>0</v>
      </c>
      <c r="F213" s="42">
        <v>0</v>
      </c>
      <c r="G213" s="42">
        <v>0</v>
      </c>
      <c r="H213" s="42">
        <f t="shared" si="39"/>
        <v>0</v>
      </c>
      <c r="I213" s="42">
        <f>H213*D213</f>
        <v>0</v>
      </c>
      <c r="J213" s="41" t="s">
        <v>148</v>
      </c>
    </row>
    <row r="214" spans="1:10" s="31" customFormat="1" hidden="1" outlineLevel="1">
      <c r="A214" s="40"/>
      <c r="B214" s="41" t="s">
        <v>102</v>
      </c>
      <c r="C214" s="40"/>
      <c r="D214" s="42"/>
      <c r="E214" s="42"/>
      <c r="F214" s="42"/>
      <c r="G214" s="42"/>
      <c r="H214" s="42"/>
      <c r="I214" s="42"/>
      <c r="J214" s="41"/>
    </row>
    <row r="215" spans="1:10" s="33" customFormat="1" ht="67.5" hidden="1" outlineLevel="2">
      <c r="A215" s="43">
        <v>1</v>
      </c>
      <c r="B215" s="41" t="s">
        <v>103</v>
      </c>
      <c r="C215" s="43" t="s">
        <v>104</v>
      </c>
      <c r="D215" s="44">
        <f t="shared" ref="D215:D217" si="40">24*2.2</f>
        <v>52.8</v>
      </c>
      <c r="E215" s="42">
        <v>0</v>
      </c>
      <c r="F215" s="42">
        <v>0</v>
      </c>
      <c r="G215" s="42">
        <v>0</v>
      </c>
      <c r="H215" s="42">
        <f t="shared" ref="H215:H219" si="41">E215+F215+G215</f>
        <v>0</v>
      </c>
      <c r="I215" s="42">
        <f t="shared" ref="I215:I219" si="42">H215*D215</f>
        <v>0</v>
      </c>
      <c r="J215" s="41" t="s">
        <v>105</v>
      </c>
    </row>
    <row r="216" spans="1:10" s="31" customFormat="1" ht="146.25" hidden="1" outlineLevel="2">
      <c r="A216" s="43">
        <v>2</v>
      </c>
      <c r="B216" s="41" t="s">
        <v>106</v>
      </c>
      <c r="C216" s="43" t="s">
        <v>104</v>
      </c>
      <c r="D216" s="44">
        <f t="shared" si="40"/>
        <v>52.8</v>
      </c>
      <c r="E216" s="42">
        <v>0</v>
      </c>
      <c r="F216" s="42">
        <v>0</v>
      </c>
      <c r="G216" s="42">
        <v>0</v>
      </c>
      <c r="H216" s="42">
        <f t="shared" si="41"/>
        <v>0</v>
      </c>
      <c r="I216" s="42">
        <f t="shared" si="42"/>
        <v>0</v>
      </c>
      <c r="J216" s="41" t="s">
        <v>172</v>
      </c>
    </row>
    <row r="217" spans="1:10" s="31" customFormat="1" ht="56.25" hidden="1" outlineLevel="2">
      <c r="A217" s="43">
        <v>3</v>
      </c>
      <c r="B217" s="41" t="s">
        <v>173</v>
      </c>
      <c r="C217" s="43" t="s">
        <v>104</v>
      </c>
      <c r="D217" s="44">
        <f t="shared" si="40"/>
        <v>52.8</v>
      </c>
      <c r="E217" s="42">
        <v>0</v>
      </c>
      <c r="F217" s="42">
        <v>0</v>
      </c>
      <c r="G217" s="42">
        <v>0</v>
      </c>
      <c r="H217" s="42">
        <f t="shared" si="41"/>
        <v>0</v>
      </c>
      <c r="I217" s="42">
        <f t="shared" si="42"/>
        <v>0</v>
      </c>
      <c r="J217" s="41" t="s">
        <v>174</v>
      </c>
    </row>
    <row r="218" spans="1:10" s="31" customFormat="1" ht="45" hidden="1" outlineLevel="2">
      <c r="A218" s="40">
        <v>4</v>
      </c>
      <c r="B218" s="41" t="s">
        <v>175</v>
      </c>
      <c r="C218" s="43" t="s">
        <v>104</v>
      </c>
      <c r="D218" s="42">
        <v>24</v>
      </c>
      <c r="E218" s="42">
        <v>0</v>
      </c>
      <c r="F218" s="42">
        <v>0</v>
      </c>
      <c r="G218" s="42">
        <v>0</v>
      </c>
      <c r="H218" s="42">
        <f t="shared" si="41"/>
        <v>0</v>
      </c>
      <c r="I218" s="42">
        <f t="shared" si="42"/>
        <v>0</v>
      </c>
      <c r="J218" s="41" t="s">
        <v>176</v>
      </c>
    </row>
    <row r="219" spans="1:10" s="31" customFormat="1" ht="56.25" hidden="1" outlineLevel="2">
      <c r="A219" s="40">
        <v>5</v>
      </c>
      <c r="B219" s="41" t="s">
        <v>110</v>
      </c>
      <c r="C219" s="40" t="s">
        <v>111</v>
      </c>
      <c r="D219" s="42">
        <v>2</v>
      </c>
      <c r="E219" s="42">
        <v>0</v>
      </c>
      <c r="F219" s="42">
        <v>0</v>
      </c>
      <c r="G219" s="42">
        <v>0</v>
      </c>
      <c r="H219" s="42">
        <f t="shared" si="41"/>
        <v>0</v>
      </c>
      <c r="I219" s="42">
        <f t="shared" si="42"/>
        <v>0</v>
      </c>
      <c r="J219" s="41" t="s">
        <v>211</v>
      </c>
    </row>
    <row r="220" spans="1:10" s="31" customFormat="1" hidden="1" outlineLevel="1">
      <c r="A220" s="40"/>
      <c r="B220" s="41" t="s">
        <v>178</v>
      </c>
      <c r="C220" s="40"/>
      <c r="D220" s="42"/>
      <c r="E220" s="42"/>
      <c r="F220" s="42"/>
      <c r="G220" s="42"/>
      <c r="H220" s="42"/>
      <c r="I220" s="42"/>
      <c r="J220" s="41"/>
    </row>
    <row r="221" spans="1:10" s="31" customFormat="1" ht="45" hidden="1" outlineLevel="2">
      <c r="A221" s="40">
        <v>1</v>
      </c>
      <c r="B221" s="41" t="s">
        <v>179</v>
      </c>
      <c r="C221" s="43" t="s">
        <v>104</v>
      </c>
      <c r="D221" s="42">
        <f>38.15*1.2</f>
        <v>45.78</v>
      </c>
      <c r="E221" s="42">
        <v>0</v>
      </c>
      <c r="F221" s="42">
        <v>0</v>
      </c>
      <c r="G221" s="42">
        <v>0</v>
      </c>
      <c r="H221" s="42">
        <f>E221+F221+G221</f>
        <v>0</v>
      </c>
      <c r="I221" s="42">
        <f>H221*D221</f>
        <v>0</v>
      </c>
      <c r="J221" s="41" t="s">
        <v>180</v>
      </c>
    </row>
    <row r="222" spans="1:10" s="31" customFormat="1" ht="56.25" hidden="1" outlineLevel="2">
      <c r="A222" s="40">
        <v>2</v>
      </c>
      <c r="B222" s="41" t="s">
        <v>181</v>
      </c>
      <c r="C222" s="40" t="s">
        <v>88</v>
      </c>
      <c r="D222" s="42">
        <v>38.15</v>
      </c>
      <c r="E222" s="42">
        <v>0</v>
      </c>
      <c r="F222" s="42">
        <v>0</v>
      </c>
      <c r="G222" s="42">
        <v>0</v>
      </c>
      <c r="H222" s="42">
        <f>E222+F222+G222</f>
        <v>0</v>
      </c>
      <c r="I222" s="42">
        <f>H222*D222</f>
        <v>0</v>
      </c>
      <c r="J222" s="41" t="s">
        <v>182</v>
      </c>
    </row>
    <row r="223" spans="1:10" s="33" customFormat="1" ht="36.950000000000003" hidden="1" customHeight="1" outlineLevel="2">
      <c r="A223" s="43">
        <v>3</v>
      </c>
      <c r="B223" s="41" t="s">
        <v>183</v>
      </c>
      <c r="C223" s="43" t="s">
        <v>100</v>
      </c>
      <c r="D223" s="44">
        <v>2</v>
      </c>
      <c r="E223" s="42">
        <v>0</v>
      </c>
      <c r="F223" s="42">
        <v>0</v>
      </c>
      <c r="G223" s="42">
        <v>0</v>
      </c>
      <c r="H223" s="42">
        <f>G223+F223+E223</f>
        <v>0</v>
      </c>
      <c r="I223" s="42">
        <f>H223*D223</f>
        <v>0</v>
      </c>
      <c r="J223" s="41" t="s">
        <v>184</v>
      </c>
    </row>
    <row r="224" spans="1:10" s="33" customFormat="1" ht="19.899999999999999" hidden="1" customHeight="1" outlineLevel="2">
      <c r="A224" s="43"/>
      <c r="B224" s="41" t="s">
        <v>113</v>
      </c>
      <c r="C224" s="43"/>
      <c r="D224" s="44"/>
      <c r="E224" s="42"/>
      <c r="F224" s="42"/>
      <c r="G224" s="42"/>
      <c r="H224" s="42"/>
      <c r="I224" s="42">
        <f>SUM(I211:I223)</f>
        <v>0</v>
      </c>
      <c r="J224" s="41"/>
    </row>
    <row r="225" spans="1:10" s="30" customFormat="1">
      <c r="A225" s="37" t="s">
        <v>212</v>
      </c>
      <c r="B225" s="38" t="s">
        <v>213</v>
      </c>
      <c r="C225" s="37"/>
      <c r="D225" s="39"/>
      <c r="E225" s="39"/>
      <c r="F225" s="39"/>
      <c r="G225" s="39"/>
      <c r="H225" s="39"/>
      <c r="I225" s="39"/>
      <c r="J225" s="38"/>
    </row>
    <row r="226" spans="1:10" s="31" customFormat="1" outlineLevel="1">
      <c r="A226" s="40"/>
      <c r="B226" s="41" t="s">
        <v>86</v>
      </c>
      <c r="C226" s="40"/>
      <c r="D226" s="42"/>
      <c r="E226" s="42"/>
      <c r="F226" s="42"/>
      <c r="G226" s="42"/>
      <c r="H226" s="42"/>
      <c r="I226" s="42"/>
      <c r="J226" s="41"/>
    </row>
    <row r="227" spans="1:10" s="31" customFormat="1" ht="63" customHeight="1" outlineLevel="2">
      <c r="A227" s="40">
        <v>1</v>
      </c>
      <c r="B227" s="41" t="s">
        <v>87</v>
      </c>
      <c r="C227" s="40" t="s">
        <v>88</v>
      </c>
      <c r="D227" s="42">
        <v>125.8</v>
      </c>
      <c r="E227" s="42">
        <v>0</v>
      </c>
      <c r="F227" s="42">
        <v>0</v>
      </c>
      <c r="G227" s="42">
        <v>0</v>
      </c>
      <c r="H227" s="42">
        <f t="shared" ref="H227:H231" si="43">E227+F227+G227</f>
        <v>0</v>
      </c>
      <c r="I227" s="42">
        <f t="shared" ref="I227:I231" si="44">H227*D227</f>
        <v>0</v>
      </c>
      <c r="J227" s="41" t="s">
        <v>89</v>
      </c>
    </row>
    <row r="228" spans="1:10" s="31" customFormat="1" ht="67.5" outlineLevel="2">
      <c r="A228" s="40">
        <v>2</v>
      </c>
      <c r="B228" s="41" t="s">
        <v>90</v>
      </c>
      <c r="C228" s="40" t="s">
        <v>88</v>
      </c>
      <c r="D228" s="42">
        <f>17.08+1.3</f>
        <v>18.38</v>
      </c>
      <c r="E228" s="42">
        <v>0</v>
      </c>
      <c r="F228" s="42">
        <v>0</v>
      </c>
      <c r="G228" s="42">
        <v>0</v>
      </c>
      <c r="H228" s="42">
        <f t="shared" si="43"/>
        <v>0</v>
      </c>
      <c r="I228" s="42">
        <f t="shared" si="44"/>
        <v>0</v>
      </c>
      <c r="J228" s="41" t="s">
        <v>214</v>
      </c>
    </row>
    <row r="229" spans="1:10" s="31" customFormat="1" ht="67.5" outlineLevel="2">
      <c r="A229" s="40">
        <v>3</v>
      </c>
      <c r="B229" s="41" t="s">
        <v>215</v>
      </c>
      <c r="C229" s="40" t="s">
        <v>88</v>
      </c>
      <c r="D229" s="42">
        <f>D227-17.08</f>
        <v>108.72</v>
      </c>
      <c r="E229" s="42">
        <v>0</v>
      </c>
      <c r="F229" s="42">
        <v>0</v>
      </c>
      <c r="G229" s="42">
        <v>0</v>
      </c>
      <c r="H229" s="42">
        <f t="shared" si="43"/>
        <v>0</v>
      </c>
      <c r="I229" s="42">
        <f t="shared" si="44"/>
        <v>0</v>
      </c>
      <c r="J229" s="41" t="s">
        <v>216</v>
      </c>
    </row>
    <row r="230" spans="1:10" s="31" customFormat="1" ht="56.25" outlineLevel="2">
      <c r="A230" s="40">
        <v>4</v>
      </c>
      <c r="B230" s="41" t="s">
        <v>94</v>
      </c>
      <c r="C230" s="40" t="s">
        <v>95</v>
      </c>
      <c r="D230" s="42">
        <v>58.6</v>
      </c>
      <c r="E230" s="42">
        <v>0</v>
      </c>
      <c r="F230" s="42">
        <v>0</v>
      </c>
      <c r="G230" s="42">
        <v>0</v>
      </c>
      <c r="H230" s="42">
        <f t="shared" si="43"/>
        <v>0</v>
      </c>
      <c r="I230" s="42">
        <f t="shared" si="44"/>
        <v>0</v>
      </c>
      <c r="J230" s="41" t="s">
        <v>217</v>
      </c>
    </row>
    <row r="231" spans="1:10" s="32" customFormat="1" ht="56.25" outlineLevel="2">
      <c r="A231" s="40">
        <v>5</v>
      </c>
      <c r="B231" s="41" t="s">
        <v>218</v>
      </c>
      <c r="C231" s="40" t="s">
        <v>95</v>
      </c>
      <c r="D231" s="42">
        <f>4.4+6.2</f>
        <v>10.6</v>
      </c>
      <c r="E231" s="42">
        <v>0</v>
      </c>
      <c r="F231" s="42">
        <v>0</v>
      </c>
      <c r="G231" s="42">
        <v>0</v>
      </c>
      <c r="H231" s="42">
        <f t="shared" si="43"/>
        <v>0</v>
      </c>
      <c r="I231" s="42">
        <f t="shared" si="44"/>
        <v>0</v>
      </c>
      <c r="J231" s="41" t="s">
        <v>101</v>
      </c>
    </row>
    <row r="232" spans="1:10" s="31" customFormat="1" outlineLevel="1">
      <c r="A232" s="40"/>
      <c r="B232" s="41" t="s">
        <v>102</v>
      </c>
      <c r="C232" s="40"/>
      <c r="D232" s="42"/>
      <c r="E232" s="42"/>
      <c r="F232" s="42"/>
      <c r="G232" s="42"/>
      <c r="H232" s="42"/>
      <c r="I232" s="42"/>
      <c r="J232" s="41"/>
    </row>
    <row r="233" spans="1:10" s="33" customFormat="1" ht="67.5" outlineLevel="2">
      <c r="A233" s="43">
        <v>1</v>
      </c>
      <c r="B233" s="41" t="s">
        <v>103</v>
      </c>
      <c r="C233" s="43" t="s">
        <v>104</v>
      </c>
      <c r="D233" s="44">
        <f>(58.6-4.8-1.6-2.8)*2.2</f>
        <v>108.68</v>
      </c>
      <c r="E233" s="42">
        <v>0</v>
      </c>
      <c r="F233" s="42">
        <v>0</v>
      </c>
      <c r="G233" s="42">
        <v>0</v>
      </c>
      <c r="H233" s="42">
        <f t="shared" ref="H233:H235" si="45">E233+F233+G233</f>
        <v>0</v>
      </c>
      <c r="I233" s="42">
        <f t="shared" ref="I233:I235" si="46">H233*D233</f>
        <v>0</v>
      </c>
      <c r="J233" s="41" t="s">
        <v>105</v>
      </c>
    </row>
    <row r="234" spans="1:10" s="31" customFormat="1" ht="67.5" outlineLevel="2">
      <c r="A234" s="43">
        <v>2</v>
      </c>
      <c r="B234" s="41" t="s">
        <v>219</v>
      </c>
      <c r="C234" s="43" t="s">
        <v>104</v>
      </c>
      <c r="D234" s="44">
        <f>(58.6-4.8-1.6-2.8)*2.2</f>
        <v>108.68</v>
      </c>
      <c r="E234" s="42">
        <v>0</v>
      </c>
      <c r="F234" s="42">
        <v>0</v>
      </c>
      <c r="G234" s="42">
        <v>0</v>
      </c>
      <c r="H234" s="42">
        <f t="shared" si="45"/>
        <v>0</v>
      </c>
      <c r="I234" s="42">
        <f t="shared" si="46"/>
        <v>0</v>
      </c>
      <c r="J234" s="41" t="s">
        <v>220</v>
      </c>
    </row>
    <row r="235" spans="1:10" s="31" customFormat="1" ht="67.5" outlineLevel="2">
      <c r="A235" s="43">
        <v>3</v>
      </c>
      <c r="B235" s="41" t="s">
        <v>221</v>
      </c>
      <c r="C235" s="43" t="s">
        <v>104</v>
      </c>
      <c r="D235" s="44">
        <v>2</v>
      </c>
      <c r="E235" s="42">
        <v>0</v>
      </c>
      <c r="F235" s="42">
        <v>0</v>
      </c>
      <c r="G235" s="42">
        <v>0</v>
      </c>
      <c r="H235" s="42">
        <f t="shared" si="45"/>
        <v>0</v>
      </c>
      <c r="I235" s="42">
        <f t="shared" si="46"/>
        <v>0</v>
      </c>
      <c r="J235" s="41" t="s">
        <v>222</v>
      </c>
    </row>
    <row r="236" spans="1:10" s="31" customFormat="1" ht="56.25" outlineLevel="2">
      <c r="A236" s="43">
        <v>4</v>
      </c>
      <c r="B236" s="41" t="s">
        <v>223</v>
      </c>
      <c r="C236" s="43" t="s">
        <v>104</v>
      </c>
      <c r="D236" s="42">
        <f>3.2*2.15</f>
        <v>6.88</v>
      </c>
      <c r="E236" s="42">
        <v>0</v>
      </c>
      <c r="F236" s="42">
        <v>0</v>
      </c>
      <c r="G236" s="42">
        <v>0</v>
      </c>
      <c r="H236" s="42">
        <f>E236+F236+G236</f>
        <v>0</v>
      </c>
      <c r="I236" s="42">
        <f>H236*D236</f>
        <v>0</v>
      </c>
      <c r="J236" s="41" t="s">
        <v>224</v>
      </c>
    </row>
    <row r="237" spans="1:10" s="31" customFormat="1" ht="78.75" outlineLevel="2">
      <c r="A237" s="43">
        <v>5</v>
      </c>
      <c r="B237" s="41" t="s">
        <v>225</v>
      </c>
      <c r="C237" s="40" t="s">
        <v>95</v>
      </c>
      <c r="D237" s="42">
        <v>3.2</v>
      </c>
      <c r="E237" s="42">
        <v>0</v>
      </c>
      <c r="F237" s="42">
        <v>0</v>
      </c>
      <c r="G237" s="42">
        <v>0</v>
      </c>
      <c r="H237" s="42">
        <f>E237+F237+G237</f>
        <v>0</v>
      </c>
      <c r="I237" s="42">
        <f>H237*D237</f>
        <v>0</v>
      </c>
      <c r="J237" s="41" t="s">
        <v>226</v>
      </c>
    </row>
    <row r="238" spans="1:10" s="31" customFormat="1" ht="56.25" outlineLevel="2">
      <c r="A238" s="43">
        <v>6</v>
      </c>
      <c r="B238" s="41" t="s">
        <v>227</v>
      </c>
      <c r="C238" s="40" t="s">
        <v>111</v>
      </c>
      <c r="D238" s="42">
        <v>5</v>
      </c>
      <c r="E238" s="42">
        <v>0</v>
      </c>
      <c r="F238" s="42">
        <v>0</v>
      </c>
      <c r="G238" s="42">
        <v>0</v>
      </c>
      <c r="H238" s="42">
        <f>E238+F238+G238</f>
        <v>0</v>
      </c>
      <c r="I238" s="42">
        <f>H238*D238</f>
        <v>0</v>
      </c>
      <c r="J238" s="41" t="s">
        <v>228</v>
      </c>
    </row>
    <row r="239" spans="1:10" s="31" customFormat="1" ht="56.25" outlineLevel="2">
      <c r="A239" s="43">
        <v>7</v>
      </c>
      <c r="B239" s="41" t="s">
        <v>229</v>
      </c>
      <c r="C239" s="43" t="s">
        <v>104</v>
      </c>
      <c r="D239" s="42">
        <v>6.02</v>
      </c>
      <c r="E239" s="42">
        <v>0</v>
      </c>
      <c r="F239" s="42">
        <v>0</v>
      </c>
      <c r="G239" s="42">
        <v>0</v>
      </c>
      <c r="H239" s="42">
        <f>E239+F239+G239</f>
        <v>0</v>
      </c>
      <c r="I239" s="42">
        <f>H239*D239</f>
        <v>0</v>
      </c>
      <c r="J239" s="41" t="s">
        <v>230</v>
      </c>
    </row>
    <row r="240" spans="1:10" s="31" customFormat="1" outlineLevel="1">
      <c r="A240" s="40"/>
      <c r="B240" s="41" t="s">
        <v>178</v>
      </c>
      <c r="C240" s="40"/>
      <c r="D240" s="42"/>
      <c r="E240" s="42"/>
      <c r="F240" s="42"/>
      <c r="G240" s="42"/>
      <c r="H240" s="42"/>
      <c r="I240" s="42"/>
      <c r="J240" s="41"/>
    </row>
    <row r="241" spans="1:10" s="31" customFormat="1" ht="45" outlineLevel="2">
      <c r="A241" s="40">
        <v>1</v>
      </c>
      <c r="B241" s="41" t="s">
        <v>231</v>
      </c>
      <c r="C241" s="40" t="s">
        <v>88</v>
      </c>
      <c r="D241" s="42">
        <v>125.8</v>
      </c>
      <c r="E241" s="42">
        <v>0</v>
      </c>
      <c r="F241" s="42">
        <v>0</v>
      </c>
      <c r="G241" s="42">
        <v>0</v>
      </c>
      <c r="H241" s="42">
        <f>E241+F241+G241</f>
        <v>0</v>
      </c>
      <c r="I241" s="42">
        <f>H241*D241</f>
        <v>0</v>
      </c>
      <c r="J241" s="41" t="s">
        <v>232</v>
      </c>
    </row>
    <row r="242" spans="1:10" s="31" customFormat="1" ht="45" outlineLevel="2">
      <c r="A242" s="40">
        <v>2</v>
      </c>
      <c r="B242" s="41" t="s">
        <v>233</v>
      </c>
      <c r="C242" s="40" t="s">
        <v>88</v>
      </c>
      <c r="D242" s="42">
        <f>18.9-1.38-0.5-0.7-0.85</f>
        <v>15.47</v>
      </c>
      <c r="E242" s="42">
        <v>0</v>
      </c>
      <c r="F242" s="42">
        <v>0</v>
      </c>
      <c r="G242" s="42">
        <v>0</v>
      </c>
      <c r="H242" s="42">
        <f>E242+F242+G242</f>
        <v>0</v>
      </c>
      <c r="I242" s="42">
        <f>H242*D242</f>
        <v>0</v>
      </c>
      <c r="J242" s="41" t="s">
        <v>232</v>
      </c>
    </row>
    <row r="243" spans="1:10" s="33" customFormat="1" ht="19.899999999999999" customHeight="1" outlineLevel="2">
      <c r="A243" s="43"/>
      <c r="B243" s="41" t="s">
        <v>113</v>
      </c>
      <c r="C243" s="43"/>
      <c r="D243" s="44"/>
      <c r="E243" s="42"/>
      <c r="F243" s="42"/>
      <c r="G243" s="42"/>
      <c r="H243" s="42"/>
      <c r="I243" s="42">
        <f>SUM(I227:I242)</f>
        <v>0</v>
      </c>
      <c r="J243" s="41"/>
    </row>
    <row r="244" spans="1:10" s="30" customFormat="1">
      <c r="A244" s="37" t="s">
        <v>234</v>
      </c>
      <c r="B244" s="38" t="s">
        <v>235</v>
      </c>
      <c r="C244" s="37"/>
      <c r="D244" s="39"/>
      <c r="E244" s="39"/>
      <c r="F244" s="39"/>
      <c r="G244" s="39"/>
      <c r="H244" s="39"/>
      <c r="I244" s="39"/>
      <c r="J244" s="38"/>
    </row>
    <row r="245" spans="1:10" s="31" customFormat="1" outlineLevel="1" collapsed="1">
      <c r="A245" s="40"/>
      <c r="B245" s="41" t="s">
        <v>86</v>
      </c>
      <c r="C245" s="40"/>
      <c r="D245" s="42"/>
      <c r="E245" s="42"/>
      <c r="F245" s="42"/>
      <c r="G245" s="42"/>
      <c r="H245" s="42"/>
      <c r="I245" s="42"/>
      <c r="J245" s="41"/>
    </row>
    <row r="246" spans="1:10" s="31" customFormat="1" ht="63" hidden="1" customHeight="1" outlineLevel="2">
      <c r="A246" s="40">
        <v>1</v>
      </c>
      <c r="B246" s="41" t="s">
        <v>87</v>
      </c>
      <c r="C246" s="40" t="s">
        <v>88</v>
      </c>
      <c r="D246" s="42">
        <v>59.5</v>
      </c>
      <c r="E246" s="42">
        <v>0</v>
      </c>
      <c r="F246" s="42">
        <v>0</v>
      </c>
      <c r="G246" s="42">
        <v>0</v>
      </c>
      <c r="H246" s="42">
        <f>E246+F246+G246</f>
        <v>0</v>
      </c>
      <c r="I246" s="42">
        <f>H246*D246</f>
        <v>0</v>
      </c>
      <c r="J246" s="41" t="s">
        <v>89</v>
      </c>
    </row>
    <row r="247" spans="1:10" s="31" customFormat="1" ht="67.5" hidden="1" outlineLevel="2">
      <c r="A247" s="40">
        <v>3</v>
      </c>
      <c r="B247" s="41" t="s">
        <v>236</v>
      </c>
      <c r="C247" s="40" t="s">
        <v>88</v>
      </c>
      <c r="D247" s="42">
        <v>59.5</v>
      </c>
      <c r="E247" s="42">
        <v>0</v>
      </c>
      <c r="F247" s="42">
        <v>0</v>
      </c>
      <c r="G247" s="42">
        <v>0</v>
      </c>
      <c r="H247" s="42">
        <f>E247+F247+G247</f>
        <v>0</v>
      </c>
      <c r="I247" s="42">
        <f>H247*D247</f>
        <v>0</v>
      </c>
      <c r="J247" s="41" t="s">
        <v>93</v>
      </c>
    </row>
    <row r="248" spans="1:10" s="31" customFormat="1" ht="56.25" hidden="1" outlineLevel="2">
      <c r="A248" s="40">
        <v>4</v>
      </c>
      <c r="B248" s="41" t="s">
        <v>94</v>
      </c>
      <c r="C248" s="40" t="s">
        <v>95</v>
      </c>
      <c r="D248" s="42">
        <v>46.6</v>
      </c>
      <c r="E248" s="42">
        <v>0</v>
      </c>
      <c r="F248" s="42">
        <v>0</v>
      </c>
      <c r="G248" s="42">
        <v>0</v>
      </c>
      <c r="H248" s="42">
        <f>E248+F248+G248</f>
        <v>0</v>
      </c>
      <c r="I248" s="42">
        <f>H248*D248</f>
        <v>0</v>
      </c>
      <c r="J248" s="41" t="s">
        <v>96</v>
      </c>
    </row>
    <row r="249" spans="1:10" s="32" customFormat="1" ht="56.25" hidden="1" outlineLevel="2">
      <c r="A249" s="40">
        <v>5</v>
      </c>
      <c r="B249" s="41" t="s">
        <v>99</v>
      </c>
      <c r="C249" s="40" t="s">
        <v>100</v>
      </c>
      <c r="D249" s="42">
        <v>4</v>
      </c>
      <c r="E249" s="42">
        <v>0</v>
      </c>
      <c r="F249" s="42">
        <v>0</v>
      </c>
      <c r="G249" s="42">
        <v>0</v>
      </c>
      <c r="H249" s="42">
        <f>E249+F249+G249</f>
        <v>0</v>
      </c>
      <c r="I249" s="42">
        <f>H249*D249</f>
        <v>0</v>
      </c>
      <c r="J249" s="41" t="s">
        <v>101</v>
      </c>
    </row>
    <row r="250" spans="1:10" s="31" customFormat="1" outlineLevel="1">
      <c r="A250" s="40"/>
      <c r="B250" s="41" t="s">
        <v>102</v>
      </c>
      <c r="C250" s="40"/>
      <c r="D250" s="42"/>
      <c r="E250" s="42"/>
      <c r="F250" s="42"/>
      <c r="G250" s="42"/>
      <c r="H250" s="42"/>
      <c r="I250" s="42"/>
      <c r="J250" s="41"/>
    </row>
    <row r="251" spans="1:10" s="33" customFormat="1" ht="67.5" outlineLevel="2">
      <c r="A251" s="43">
        <v>1</v>
      </c>
      <c r="B251" s="41" t="s">
        <v>103</v>
      </c>
      <c r="C251" s="43" t="s">
        <v>104</v>
      </c>
      <c r="D251" s="44">
        <f>(46.6-1.8)*2.2</f>
        <v>98.56</v>
      </c>
      <c r="E251" s="42">
        <v>0</v>
      </c>
      <c r="F251" s="42">
        <v>0</v>
      </c>
      <c r="G251" s="42">
        <v>0</v>
      </c>
      <c r="H251" s="42">
        <f>E251+F251+G251</f>
        <v>0</v>
      </c>
      <c r="I251" s="42">
        <f>H251*D251</f>
        <v>0</v>
      </c>
      <c r="J251" s="41" t="s">
        <v>105</v>
      </c>
    </row>
    <row r="252" spans="1:10" s="31" customFormat="1" ht="146.25" outlineLevel="2">
      <c r="A252" s="43">
        <v>2</v>
      </c>
      <c r="B252" s="41" t="s">
        <v>125</v>
      </c>
      <c r="C252" s="43" t="s">
        <v>104</v>
      </c>
      <c r="D252" s="44">
        <f>(46.6-1.8)*2.2</f>
        <v>98.56</v>
      </c>
      <c r="E252" s="42">
        <v>0</v>
      </c>
      <c r="F252" s="42">
        <v>0</v>
      </c>
      <c r="G252" s="42">
        <v>0</v>
      </c>
      <c r="H252" s="42">
        <f>E252+F252+G252</f>
        <v>0</v>
      </c>
      <c r="I252" s="42">
        <f>H252*D252</f>
        <v>0</v>
      </c>
      <c r="J252" s="41" t="s">
        <v>237</v>
      </c>
    </row>
    <row r="253" spans="1:10" s="31" customFormat="1" ht="56.25" outlineLevel="2">
      <c r="A253" s="40">
        <v>3</v>
      </c>
      <c r="B253" s="41" t="s">
        <v>227</v>
      </c>
      <c r="C253" s="40" t="s">
        <v>111</v>
      </c>
      <c r="D253" s="42">
        <v>2</v>
      </c>
      <c r="E253" s="42">
        <v>0</v>
      </c>
      <c r="F253" s="42">
        <v>0</v>
      </c>
      <c r="G253" s="42">
        <v>0</v>
      </c>
      <c r="H253" s="42">
        <f>E253+F253+G253</f>
        <v>0</v>
      </c>
      <c r="I253" s="42">
        <f>H253*D253</f>
        <v>0</v>
      </c>
      <c r="J253" s="41" t="s">
        <v>238</v>
      </c>
    </row>
    <row r="254" spans="1:10" s="45" customFormat="1" ht="19.899999999999999" customHeight="1" outlineLevel="2">
      <c r="A254" s="43"/>
      <c r="B254" s="41" t="s">
        <v>113</v>
      </c>
      <c r="C254" s="43"/>
      <c r="D254" s="44"/>
      <c r="E254" s="42"/>
      <c r="F254" s="42"/>
      <c r="G254" s="42"/>
      <c r="H254" s="42"/>
      <c r="I254" s="42">
        <f>SUM(I246:I253)</f>
        <v>0</v>
      </c>
      <c r="J254" s="41"/>
    </row>
    <row r="255" spans="1:10" s="30" customFormat="1">
      <c r="A255" s="37" t="s">
        <v>239</v>
      </c>
      <c r="B255" s="38" t="s">
        <v>35</v>
      </c>
      <c r="C255" s="37"/>
      <c r="D255" s="39"/>
      <c r="E255" s="39"/>
      <c r="F255" s="39"/>
      <c r="G255" s="39"/>
      <c r="H255" s="39"/>
      <c r="I255" s="39"/>
      <c r="J255" s="38"/>
    </row>
    <row r="256" spans="1:10" s="31" customFormat="1" outlineLevel="1">
      <c r="A256" s="40"/>
      <c r="B256" s="41" t="s">
        <v>86</v>
      </c>
      <c r="C256" s="40"/>
      <c r="D256" s="42"/>
      <c r="E256" s="42"/>
      <c r="F256" s="42"/>
      <c r="G256" s="42"/>
      <c r="H256" s="42"/>
      <c r="I256" s="42"/>
      <c r="J256" s="41"/>
    </row>
    <row r="257" spans="1:10" s="31" customFormat="1" ht="67.5" outlineLevel="2">
      <c r="A257" s="40">
        <v>1</v>
      </c>
      <c r="B257" s="41" t="s">
        <v>87</v>
      </c>
      <c r="C257" s="40" t="s">
        <v>88</v>
      </c>
      <c r="D257" s="42">
        <f>196.38+12</f>
        <v>208.38</v>
      </c>
      <c r="E257" s="42">
        <v>0</v>
      </c>
      <c r="F257" s="42">
        <v>0</v>
      </c>
      <c r="G257" s="42">
        <v>0</v>
      </c>
      <c r="H257" s="42">
        <f>E257+F257+G257</f>
        <v>0</v>
      </c>
      <c r="I257" s="42">
        <f>H257*D257</f>
        <v>0</v>
      </c>
      <c r="J257" s="41" t="s">
        <v>89</v>
      </c>
    </row>
    <row r="258" spans="1:10" s="31" customFormat="1" ht="123.75" outlineLevel="2">
      <c r="A258" s="40">
        <v>2</v>
      </c>
      <c r="B258" s="41" t="s">
        <v>240</v>
      </c>
      <c r="C258" s="40" t="s">
        <v>88</v>
      </c>
      <c r="D258" s="42">
        <f>196.38+12</f>
        <v>208.38</v>
      </c>
      <c r="E258" s="42">
        <v>0</v>
      </c>
      <c r="F258" s="42">
        <v>0</v>
      </c>
      <c r="G258" s="42">
        <v>0</v>
      </c>
      <c r="H258" s="42">
        <f>E258+F258+G258</f>
        <v>0</v>
      </c>
      <c r="I258" s="42">
        <f>H258*D258</f>
        <v>0</v>
      </c>
      <c r="J258" s="41" t="s">
        <v>241</v>
      </c>
    </row>
    <row r="259" spans="1:10" s="32" customFormat="1" ht="56.25" outlineLevel="2">
      <c r="A259" s="40">
        <v>3</v>
      </c>
      <c r="B259" s="41" t="s">
        <v>99</v>
      </c>
      <c r="C259" s="40" t="s">
        <v>100</v>
      </c>
      <c r="D259" s="42">
        <v>16</v>
      </c>
      <c r="E259" s="42">
        <v>0</v>
      </c>
      <c r="F259" s="42">
        <v>0</v>
      </c>
      <c r="G259" s="42">
        <v>0</v>
      </c>
      <c r="H259" s="42">
        <f>E259+F259+G259</f>
        <v>0</v>
      </c>
      <c r="I259" s="42">
        <f>H259*D259</f>
        <v>0</v>
      </c>
      <c r="J259" s="41" t="s">
        <v>101</v>
      </c>
    </row>
    <row r="260" spans="1:10" s="31" customFormat="1" outlineLevel="1">
      <c r="A260" s="40"/>
      <c r="B260" s="41" t="s">
        <v>102</v>
      </c>
      <c r="C260" s="40"/>
      <c r="D260" s="42"/>
      <c r="E260" s="42"/>
      <c r="F260" s="42"/>
      <c r="G260" s="42"/>
      <c r="H260" s="42"/>
      <c r="I260" s="42"/>
      <c r="J260" s="41"/>
    </row>
    <row r="261" spans="1:10" s="33" customFormat="1" ht="67.5" outlineLevel="2">
      <c r="A261" s="43">
        <v>1</v>
      </c>
      <c r="B261" s="41" t="s">
        <v>103</v>
      </c>
      <c r="C261" s="43" t="s">
        <v>104</v>
      </c>
      <c r="D261" s="44">
        <v>344.19</v>
      </c>
      <c r="E261" s="42">
        <v>0</v>
      </c>
      <c r="F261" s="42">
        <v>0</v>
      </c>
      <c r="G261" s="42">
        <v>0</v>
      </c>
      <c r="H261" s="42">
        <f>E261+F261+G261</f>
        <v>0</v>
      </c>
      <c r="I261" s="42">
        <f>H261*D261</f>
        <v>0</v>
      </c>
      <c r="J261" s="41" t="s">
        <v>105</v>
      </c>
    </row>
    <row r="262" spans="1:10" s="31" customFormat="1" ht="123.75" outlineLevel="2">
      <c r="A262" s="43">
        <v>2</v>
      </c>
      <c r="B262" s="41" t="s">
        <v>242</v>
      </c>
      <c r="C262" s="43" t="s">
        <v>104</v>
      </c>
      <c r="D262" s="44">
        <v>344.19</v>
      </c>
      <c r="E262" s="42">
        <v>0</v>
      </c>
      <c r="F262" s="42">
        <v>0</v>
      </c>
      <c r="G262" s="42">
        <v>0</v>
      </c>
      <c r="H262" s="42">
        <f>E262+F262+G262</f>
        <v>0</v>
      </c>
      <c r="I262" s="42">
        <f>H262*D262</f>
        <v>0</v>
      </c>
      <c r="J262" s="41" t="s">
        <v>241</v>
      </c>
    </row>
    <row r="263" spans="1:10" s="31" customFormat="1" ht="56.25" outlineLevel="2">
      <c r="A263" s="40">
        <v>3</v>
      </c>
      <c r="B263" s="41" t="s">
        <v>110</v>
      </c>
      <c r="C263" s="40" t="s">
        <v>111</v>
      </c>
      <c r="D263" s="42">
        <v>10</v>
      </c>
      <c r="E263" s="42">
        <v>0</v>
      </c>
      <c r="F263" s="42">
        <v>0</v>
      </c>
      <c r="G263" s="42">
        <v>0</v>
      </c>
      <c r="H263" s="42">
        <f>E263+F263+G263</f>
        <v>0</v>
      </c>
      <c r="I263" s="42">
        <f>H263*D263</f>
        <v>0</v>
      </c>
      <c r="J263" s="41" t="s">
        <v>243</v>
      </c>
    </row>
    <row r="264" spans="1:10" s="31" customFormat="1" outlineLevel="1">
      <c r="A264" s="40"/>
      <c r="B264" s="41" t="s">
        <v>178</v>
      </c>
      <c r="C264" s="40"/>
      <c r="D264" s="42"/>
      <c r="E264" s="42"/>
      <c r="F264" s="42"/>
      <c r="G264" s="42"/>
      <c r="H264" s="42"/>
      <c r="I264" s="42"/>
      <c r="J264" s="41"/>
    </row>
    <row r="265" spans="1:10" s="31" customFormat="1" ht="56.25" outlineLevel="2">
      <c r="A265" s="40">
        <v>1</v>
      </c>
      <c r="B265" s="41" t="s">
        <v>181</v>
      </c>
      <c r="C265" s="40" t="s">
        <v>88</v>
      </c>
      <c r="D265" s="42">
        <f>D257</f>
        <v>208.38</v>
      </c>
      <c r="E265" s="42">
        <v>0</v>
      </c>
      <c r="F265" s="42">
        <v>0</v>
      </c>
      <c r="G265" s="42">
        <v>0</v>
      </c>
      <c r="H265" s="42">
        <f>E265+F265+G265</f>
        <v>0</v>
      </c>
      <c r="I265" s="42">
        <f>H265*D265</f>
        <v>0</v>
      </c>
      <c r="J265" s="41" t="s">
        <v>182</v>
      </c>
    </row>
    <row r="266" spans="1:10" s="33" customFormat="1" ht="19.899999999999999" customHeight="1" outlineLevel="2">
      <c r="A266" s="43"/>
      <c r="B266" s="41" t="s">
        <v>113</v>
      </c>
      <c r="C266" s="43"/>
      <c r="D266" s="44"/>
      <c r="E266" s="42"/>
      <c r="F266" s="42"/>
      <c r="G266" s="42"/>
      <c r="H266" s="42"/>
      <c r="I266" s="42">
        <f>SUM(I257:I265)</f>
        <v>0</v>
      </c>
      <c r="J266" s="41"/>
    </row>
    <row r="267" spans="1:10" s="30" customFormat="1">
      <c r="A267" s="37" t="s">
        <v>244</v>
      </c>
      <c r="B267" s="38" t="s">
        <v>36</v>
      </c>
      <c r="C267" s="37"/>
      <c r="D267" s="39"/>
      <c r="E267" s="39"/>
      <c r="F267" s="39"/>
      <c r="G267" s="39"/>
      <c r="H267" s="39"/>
      <c r="I267" s="39"/>
      <c r="J267" s="38"/>
    </row>
    <row r="268" spans="1:10" s="31" customFormat="1" outlineLevel="1">
      <c r="A268" s="40"/>
      <c r="B268" s="41" t="s">
        <v>86</v>
      </c>
      <c r="C268" s="40"/>
      <c r="D268" s="42"/>
      <c r="E268" s="42"/>
      <c r="F268" s="42"/>
      <c r="G268" s="42"/>
      <c r="H268" s="42"/>
      <c r="I268" s="42"/>
      <c r="J268" s="41"/>
    </row>
    <row r="269" spans="1:10" s="31" customFormat="1" ht="67.5" outlineLevel="2">
      <c r="A269" s="40">
        <v>1</v>
      </c>
      <c r="B269" s="41" t="s">
        <v>87</v>
      </c>
      <c r="C269" s="40" t="s">
        <v>88</v>
      </c>
      <c r="D269" s="42">
        <v>33.86</v>
      </c>
      <c r="E269" s="42">
        <v>0</v>
      </c>
      <c r="F269" s="42">
        <v>0</v>
      </c>
      <c r="G269" s="42">
        <v>0</v>
      </c>
      <c r="H269" s="42">
        <f t="shared" ref="H269:H275" si="47">E269+F269+G269</f>
        <v>0</v>
      </c>
      <c r="I269" s="42">
        <f t="shared" ref="I269:I271" si="48">H269*D269</f>
        <v>0</v>
      </c>
      <c r="J269" s="41" t="s">
        <v>89</v>
      </c>
    </row>
    <row r="270" spans="1:10" s="31" customFormat="1" ht="123.75" outlineLevel="2">
      <c r="A270" s="40">
        <v>2</v>
      </c>
      <c r="B270" s="41" t="s">
        <v>245</v>
      </c>
      <c r="C270" s="40" t="s">
        <v>88</v>
      </c>
      <c r="D270" s="42">
        <v>33.86</v>
      </c>
      <c r="E270" s="42">
        <v>0</v>
      </c>
      <c r="F270" s="42">
        <v>0</v>
      </c>
      <c r="G270" s="42">
        <v>0</v>
      </c>
      <c r="H270" s="42">
        <f t="shared" si="47"/>
        <v>0</v>
      </c>
      <c r="I270" s="42">
        <f t="shared" si="48"/>
        <v>0</v>
      </c>
      <c r="J270" s="41" t="s">
        <v>241</v>
      </c>
    </row>
    <row r="271" spans="1:10" s="32" customFormat="1" ht="56.25" outlineLevel="2">
      <c r="A271" s="40">
        <v>3</v>
      </c>
      <c r="B271" s="41" t="s">
        <v>99</v>
      </c>
      <c r="C271" s="40" t="s">
        <v>100</v>
      </c>
      <c r="D271" s="42">
        <v>1</v>
      </c>
      <c r="E271" s="42">
        <v>0</v>
      </c>
      <c r="F271" s="42">
        <v>0</v>
      </c>
      <c r="G271" s="42">
        <v>0</v>
      </c>
      <c r="H271" s="42">
        <f t="shared" si="47"/>
        <v>0</v>
      </c>
      <c r="I271" s="42">
        <f t="shared" si="48"/>
        <v>0</v>
      </c>
      <c r="J271" s="41" t="s">
        <v>101</v>
      </c>
    </row>
    <row r="272" spans="1:10" s="31" customFormat="1" outlineLevel="1">
      <c r="A272" s="40"/>
      <c r="B272" s="41" t="s">
        <v>102</v>
      </c>
      <c r="C272" s="40"/>
      <c r="D272" s="42"/>
      <c r="E272" s="42"/>
      <c r="F272" s="42"/>
      <c r="G272" s="42"/>
      <c r="H272" s="42"/>
      <c r="I272" s="42"/>
      <c r="J272" s="41"/>
    </row>
    <row r="273" spans="1:10" s="33" customFormat="1" ht="67.5" outlineLevel="2">
      <c r="A273" s="43">
        <v>1</v>
      </c>
      <c r="B273" s="41" t="s">
        <v>103</v>
      </c>
      <c r="C273" s="43" t="s">
        <v>104</v>
      </c>
      <c r="D273" s="44">
        <f>23.5*2-3</f>
        <v>44</v>
      </c>
      <c r="E273" s="42">
        <v>0</v>
      </c>
      <c r="F273" s="42">
        <v>0</v>
      </c>
      <c r="G273" s="42">
        <v>0</v>
      </c>
      <c r="H273" s="42">
        <f t="shared" si="47"/>
        <v>0</v>
      </c>
      <c r="I273" s="42">
        <f>H273*D273</f>
        <v>0</v>
      </c>
      <c r="J273" s="41" t="s">
        <v>105</v>
      </c>
    </row>
    <row r="274" spans="1:10" s="31" customFormat="1" ht="123.75" outlineLevel="2">
      <c r="A274" s="43">
        <v>2</v>
      </c>
      <c r="B274" s="41" t="s">
        <v>106</v>
      </c>
      <c r="C274" s="43" t="s">
        <v>104</v>
      </c>
      <c r="D274" s="44">
        <f>23.5*2-3</f>
        <v>44</v>
      </c>
      <c r="E274" s="42">
        <v>0</v>
      </c>
      <c r="F274" s="42">
        <v>0</v>
      </c>
      <c r="G274" s="42">
        <v>0</v>
      </c>
      <c r="H274" s="42">
        <f t="shared" si="47"/>
        <v>0</v>
      </c>
      <c r="I274" s="42">
        <f>H274*D274</f>
        <v>0</v>
      </c>
      <c r="J274" s="41" t="s">
        <v>241</v>
      </c>
    </row>
    <row r="275" spans="1:10" s="31" customFormat="1" ht="56.25" outlineLevel="2">
      <c r="A275" s="40">
        <v>3</v>
      </c>
      <c r="B275" s="41" t="s">
        <v>120</v>
      </c>
      <c r="C275" s="40" t="s">
        <v>111</v>
      </c>
      <c r="D275" s="42">
        <v>1</v>
      </c>
      <c r="E275" s="42">
        <v>0</v>
      </c>
      <c r="F275" s="42">
        <v>0</v>
      </c>
      <c r="G275" s="42">
        <v>0</v>
      </c>
      <c r="H275" s="42">
        <f t="shared" si="47"/>
        <v>0</v>
      </c>
      <c r="I275" s="42">
        <f>H275*D275</f>
        <v>0</v>
      </c>
      <c r="J275" s="41" t="s">
        <v>243</v>
      </c>
    </row>
    <row r="276" spans="1:10" s="31" customFormat="1" outlineLevel="1">
      <c r="A276" s="40"/>
      <c r="B276" s="41" t="s">
        <v>178</v>
      </c>
      <c r="C276" s="40"/>
      <c r="D276" s="42"/>
      <c r="E276" s="42"/>
      <c r="F276" s="42"/>
      <c r="G276" s="42"/>
      <c r="H276" s="42"/>
      <c r="I276" s="42"/>
      <c r="J276" s="41"/>
    </row>
    <row r="277" spans="1:10" s="31" customFormat="1" ht="56.25" outlineLevel="2">
      <c r="A277" s="40">
        <v>1</v>
      </c>
      <c r="B277" s="41" t="s">
        <v>181</v>
      </c>
      <c r="C277" s="40" t="s">
        <v>88</v>
      </c>
      <c r="D277" s="42">
        <v>33.86</v>
      </c>
      <c r="E277" s="42">
        <v>0</v>
      </c>
      <c r="F277" s="42">
        <v>0</v>
      </c>
      <c r="G277" s="42">
        <v>0</v>
      </c>
      <c r="H277" s="42">
        <f>E277+F277+G277</f>
        <v>0</v>
      </c>
      <c r="I277" s="42">
        <f>H277*D277</f>
        <v>0</v>
      </c>
      <c r="J277" s="41" t="s">
        <v>182</v>
      </c>
    </row>
    <row r="278" spans="1:10" s="33" customFormat="1" ht="19.899999999999999" customHeight="1" outlineLevel="2">
      <c r="A278" s="43"/>
      <c r="B278" s="41" t="s">
        <v>113</v>
      </c>
      <c r="C278" s="43"/>
      <c r="D278" s="44"/>
      <c r="E278" s="42"/>
      <c r="F278" s="42"/>
      <c r="G278" s="42"/>
      <c r="H278" s="42"/>
      <c r="I278" s="42">
        <f>SUM(I269:I277)</f>
        <v>0</v>
      </c>
      <c r="J278" s="41"/>
    </row>
  </sheetData>
  <sheetProtection formatCells="0" formatColumns="0" formatRows="0" insertColumns="0" insertRows="0" insertHyperlinks="0" deleteColumns="0" deleteRows="0" sort="0" autoFilter="0" pivotTables="0"/>
  <autoFilter ref="A4:J278" xr:uid="{00000000-0009-0000-0000-000003000000}"/>
  <mergeCells count="11">
    <mergeCell ref="A1:J1"/>
    <mergeCell ref="A2:J2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23" type="noConversion"/>
  <printOptions horizontalCentered="1"/>
  <pageMargins left="0.39305555555555599" right="0.39305555555555599" top="0.39305555555555599" bottom="0.59027777777777801" header="0.39305555555555599" footer="0.39305555555555599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J186"/>
  <sheetViews>
    <sheetView view="pageBreakPreview" zoomScale="130" zoomScaleNormal="100" workbookViewId="0">
      <pane ySplit="4" topLeftCell="A88" activePane="bottomLeft" state="frozen"/>
      <selection pane="bottomLeft" activeCell="H90" sqref="H90"/>
    </sheetView>
  </sheetViews>
  <sheetFormatPr defaultColWidth="8.875" defaultRowHeight="12.75" outlineLevelRow="2"/>
  <cols>
    <col min="1" max="1" width="5.75" style="34" customWidth="1"/>
    <col min="2" max="2" width="19.625" style="35" customWidth="1"/>
    <col min="3" max="3" width="5" style="36" customWidth="1"/>
    <col min="4" max="8" width="8.875" style="36"/>
    <col min="9" max="9" width="9.5" style="36"/>
    <col min="10" max="10" width="27.375" style="36" customWidth="1"/>
    <col min="11" max="16384" width="8.875" style="36"/>
  </cols>
  <sheetData>
    <row r="1" spans="1:10" s="28" customFormat="1" ht="20.100000000000001" customHeight="1">
      <c r="A1" s="93" t="s">
        <v>74</v>
      </c>
      <c r="B1" s="94"/>
      <c r="C1" s="93"/>
      <c r="D1" s="95"/>
      <c r="E1" s="95"/>
      <c r="F1" s="95"/>
      <c r="G1" s="95"/>
      <c r="H1" s="95"/>
      <c r="I1" s="95"/>
      <c r="J1" s="93"/>
    </row>
    <row r="2" spans="1:10" s="29" customFormat="1" ht="15" customHeight="1">
      <c r="A2" s="96" t="s">
        <v>75</v>
      </c>
      <c r="B2" s="96"/>
      <c r="C2" s="96"/>
      <c r="D2" s="97"/>
      <c r="E2" s="98"/>
      <c r="F2" s="98"/>
      <c r="G2" s="98"/>
      <c r="H2" s="97"/>
      <c r="I2" s="97"/>
      <c r="J2" s="96"/>
    </row>
    <row r="3" spans="1:10" s="28" customFormat="1">
      <c r="A3" s="99" t="s">
        <v>7</v>
      </c>
      <c r="B3" s="99" t="s">
        <v>76</v>
      </c>
      <c r="C3" s="99" t="s">
        <v>77</v>
      </c>
      <c r="D3" s="98" t="s">
        <v>78</v>
      </c>
      <c r="E3" s="98" t="s">
        <v>79</v>
      </c>
      <c r="F3" s="102" t="s">
        <v>80</v>
      </c>
      <c r="G3" s="98" t="s">
        <v>81</v>
      </c>
      <c r="H3" s="104" t="s">
        <v>82</v>
      </c>
      <c r="I3" s="98" t="s">
        <v>83</v>
      </c>
      <c r="J3" s="105" t="s">
        <v>84</v>
      </c>
    </row>
    <row r="4" spans="1:10" s="28" customFormat="1">
      <c r="A4" s="100"/>
      <c r="B4" s="100"/>
      <c r="C4" s="100"/>
      <c r="D4" s="101"/>
      <c r="E4" s="101"/>
      <c r="F4" s="103"/>
      <c r="G4" s="101"/>
      <c r="H4" s="104"/>
      <c r="I4" s="98"/>
      <c r="J4" s="105"/>
    </row>
    <row r="5" spans="1:10" s="30" customFormat="1">
      <c r="A5" s="37" t="s">
        <v>15</v>
      </c>
      <c r="B5" s="38" t="s">
        <v>246</v>
      </c>
      <c r="C5" s="37"/>
      <c r="D5" s="39"/>
      <c r="E5" s="39"/>
      <c r="F5" s="39"/>
      <c r="G5" s="39"/>
      <c r="H5" s="39"/>
      <c r="I5" s="39"/>
      <c r="J5" s="38"/>
    </row>
    <row r="6" spans="1:10" s="31" customFormat="1" outlineLevel="1">
      <c r="A6" s="40"/>
      <c r="B6" s="41" t="s">
        <v>86</v>
      </c>
      <c r="C6" s="40"/>
      <c r="D6" s="42"/>
      <c r="E6" s="42"/>
      <c r="F6" s="42"/>
      <c r="G6" s="42"/>
      <c r="H6" s="42"/>
      <c r="I6" s="42"/>
      <c r="J6" s="41"/>
    </row>
    <row r="7" spans="1:10" s="31" customFormat="1" ht="63" customHeight="1" outlineLevel="2">
      <c r="A7" s="40">
        <v>1</v>
      </c>
      <c r="B7" s="41" t="s">
        <v>87</v>
      </c>
      <c r="C7" s="40" t="s">
        <v>88</v>
      </c>
      <c r="D7" s="42">
        <v>35.14</v>
      </c>
      <c r="E7" s="42">
        <v>0</v>
      </c>
      <c r="F7" s="42">
        <v>0</v>
      </c>
      <c r="G7" s="42">
        <v>0</v>
      </c>
      <c r="H7" s="42">
        <f t="shared" ref="H7:H11" si="0">E7+F7+G7</f>
        <v>0</v>
      </c>
      <c r="I7" s="42">
        <f t="shared" ref="I7:I11" si="1">H7*D7</f>
        <v>0</v>
      </c>
      <c r="J7" s="41" t="s">
        <v>89</v>
      </c>
    </row>
    <row r="8" spans="1:10" s="31" customFormat="1" ht="67.5" outlineLevel="2">
      <c r="A8" s="40">
        <v>2</v>
      </c>
      <c r="B8" s="41" t="s">
        <v>247</v>
      </c>
      <c r="C8" s="40" t="s">
        <v>88</v>
      </c>
      <c r="D8" s="42">
        <v>32</v>
      </c>
      <c r="E8" s="42">
        <v>0</v>
      </c>
      <c r="F8" s="42">
        <v>0</v>
      </c>
      <c r="G8" s="42">
        <v>0</v>
      </c>
      <c r="H8" s="42">
        <f t="shared" si="0"/>
        <v>0</v>
      </c>
      <c r="I8" s="42">
        <f t="shared" si="1"/>
        <v>0</v>
      </c>
      <c r="J8" s="41" t="s">
        <v>248</v>
      </c>
    </row>
    <row r="9" spans="1:10" s="31" customFormat="1" ht="67.5" outlineLevel="2">
      <c r="A9" s="40">
        <v>3</v>
      </c>
      <c r="B9" s="41" t="s">
        <v>215</v>
      </c>
      <c r="C9" s="40" t="s">
        <v>88</v>
      </c>
      <c r="D9" s="42">
        <v>3.14</v>
      </c>
      <c r="E9" s="42">
        <v>0</v>
      </c>
      <c r="F9" s="42">
        <v>0</v>
      </c>
      <c r="G9" s="42">
        <v>0</v>
      </c>
      <c r="H9" s="42">
        <f t="shared" si="0"/>
        <v>0</v>
      </c>
      <c r="I9" s="42">
        <f t="shared" si="1"/>
        <v>0</v>
      </c>
      <c r="J9" s="41" t="s">
        <v>216</v>
      </c>
    </row>
    <row r="10" spans="1:10" s="31" customFormat="1" ht="56.25" outlineLevel="2">
      <c r="A10" s="40">
        <v>4</v>
      </c>
      <c r="B10" s="41" t="s">
        <v>94</v>
      </c>
      <c r="C10" s="40" t="s">
        <v>95</v>
      </c>
      <c r="D10" s="42">
        <v>51.37</v>
      </c>
      <c r="E10" s="42">
        <v>0</v>
      </c>
      <c r="F10" s="42">
        <v>0</v>
      </c>
      <c r="G10" s="42">
        <v>0</v>
      </c>
      <c r="H10" s="42">
        <f t="shared" si="0"/>
        <v>0</v>
      </c>
      <c r="I10" s="42">
        <f t="shared" si="1"/>
        <v>0</v>
      </c>
      <c r="J10" s="41" t="s">
        <v>217</v>
      </c>
    </row>
    <row r="11" spans="1:10" s="32" customFormat="1" ht="56.25" outlineLevel="2">
      <c r="A11" s="40">
        <v>5</v>
      </c>
      <c r="B11" s="41" t="s">
        <v>218</v>
      </c>
      <c r="C11" s="40" t="s">
        <v>100</v>
      </c>
      <c r="D11" s="42">
        <v>2</v>
      </c>
      <c r="E11" s="42">
        <v>0</v>
      </c>
      <c r="F11" s="42">
        <v>0</v>
      </c>
      <c r="G11" s="42">
        <v>0</v>
      </c>
      <c r="H11" s="42">
        <f t="shared" si="0"/>
        <v>0</v>
      </c>
      <c r="I11" s="42">
        <f t="shared" si="1"/>
        <v>0</v>
      </c>
      <c r="J11" s="41" t="s">
        <v>101</v>
      </c>
    </row>
    <row r="12" spans="1:10" s="31" customFormat="1" outlineLevel="1">
      <c r="A12" s="40"/>
      <c r="B12" s="41" t="s">
        <v>102</v>
      </c>
      <c r="C12" s="40"/>
      <c r="D12" s="42"/>
      <c r="E12" s="42"/>
      <c r="F12" s="42"/>
      <c r="G12" s="42"/>
      <c r="H12" s="42"/>
      <c r="I12" s="42"/>
      <c r="J12" s="41"/>
    </row>
    <row r="13" spans="1:10" s="33" customFormat="1" ht="67.5" outlineLevel="2">
      <c r="A13" s="43">
        <v>1</v>
      </c>
      <c r="B13" s="41" t="s">
        <v>103</v>
      </c>
      <c r="C13" s="43" t="s">
        <v>104</v>
      </c>
      <c r="D13" s="44">
        <f>44.37*2.4</f>
        <v>106.49</v>
      </c>
      <c r="E13" s="42">
        <v>0</v>
      </c>
      <c r="F13" s="42">
        <v>0</v>
      </c>
      <c r="G13" s="42">
        <v>0</v>
      </c>
      <c r="H13" s="42">
        <f>E13+F13+G13</f>
        <v>0</v>
      </c>
      <c r="I13" s="42">
        <f>H13*D13</f>
        <v>0</v>
      </c>
      <c r="J13" s="41" t="s">
        <v>249</v>
      </c>
    </row>
    <row r="14" spans="1:10" s="31" customFormat="1" ht="67.5" outlineLevel="2">
      <c r="A14" s="43">
        <v>2</v>
      </c>
      <c r="B14" s="41" t="s">
        <v>219</v>
      </c>
      <c r="C14" s="43" t="s">
        <v>104</v>
      </c>
      <c r="D14" s="44">
        <f>(44.37-6.7)*2.4</f>
        <v>90.41</v>
      </c>
      <c r="E14" s="42">
        <v>0</v>
      </c>
      <c r="F14" s="42">
        <v>0</v>
      </c>
      <c r="G14" s="42">
        <v>0</v>
      </c>
      <c r="H14" s="42">
        <f>E14+F14+G14</f>
        <v>0</v>
      </c>
      <c r="I14" s="42">
        <f>H14*D14</f>
        <v>0</v>
      </c>
      <c r="J14" s="41" t="s">
        <v>220</v>
      </c>
    </row>
    <row r="15" spans="1:10" s="31" customFormat="1" ht="67.5" outlineLevel="2">
      <c r="A15" s="43">
        <v>3</v>
      </c>
      <c r="B15" s="41" t="s">
        <v>221</v>
      </c>
      <c r="C15" s="43" t="s">
        <v>250</v>
      </c>
      <c r="D15" s="44">
        <v>2</v>
      </c>
      <c r="E15" s="42">
        <v>0</v>
      </c>
      <c r="F15" s="42">
        <v>0</v>
      </c>
      <c r="G15" s="42">
        <v>0</v>
      </c>
      <c r="H15" s="42">
        <f>E15+F15+G15</f>
        <v>0</v>
      </c>
      <c r="I15" s="42">
        <f>H15*D15</f>
        <v>0</v>
      </c>
      <c r="J15" s="41" t="s">
        <v>222</v>
      </c>
    </row>
    <row r="16" spans="1:10" s="31" customFormat="1" ht="56.25" outlineLevel="2">
      <c r="A16" s="43">
        <v>4</v>
      </c>
      <c r="B16" s="41" t="s">
        <v>223</v>
      </c>
      <c r="C16" s="43" t="s">
        <v>104</v>
      </c>
      <c r="D16" s="42">
        <f>6.7*2.4</f>
        <v>16.079999999999998</v>
      </c>
      <c r="E16" s="42">
        <v>0</v>
      </c>
      <c r="F16" s="42">
        <v>0</v>
      </c>
      <c r="G16" s="42">
        <v>0</v>
      </c>
      <c r="H16" s="42">
        <f>E16+F16+G16</f>
        <v>0</v>
      </c>
      <c r="I16" s="42">
        <f>H16*D16</f>
        <v>0</v>
      </c>
      <c r="J16" s="41" t="s">
        <v>224</v>
      </c>
    </row>
    <row r="17" spans="1:10" s="31" customFormat="1" ht="78.75" outlineLevel="2">
      <c r="A17" s="43">
        <v>5</v>
      </c>
      <c r="B17" s="41" t="s">
        <v>225</v>
      </c>
      <c r="C17" s="40" t="s">
        <v>95</v>
      </c>
      <c r="D17" s="42">
        <v>3.2</v>
      </c>
      <c r="E17" s="42">
        <v>0</v>
      </c>
      <c r="F17" s="42">
        <v>0</v>
      </c>
      <c r="G17" s="42">
        <v>0</v>
      </c>
      <c r="H17" s="42">
        <f>E17+F17+G17</f>
        <v>0</v>
      </c>
      <c r="I17" s="42">
        <f>H17*D17</f>
        <v>0</v>
      </c>
      <c r="J17" s="41" t="s">
        <v>251</v>
      </c>
    </row>
    <row r="18" spans="1:10" s="31" customFormat="1" outlineLevel="1" collapsed="1">
      <c r="A18" s="40"/>
      <c r="B18" s="41" t="s">
        <v>178</v>
      </c>
      <c r="C18" s="40"/>
      <c r="D18" s="42"/>
      <c r="E18" s="42"/>
      <c r="F18" s="42"/>
      <c r="G18" s="42"/>
      <c r="H18" s="42"/>
      <c r="I18" s="42"/>
      <c r="J18" s="41"/>
    </row>
    <row r="19" spans="1:10" s="31" customFormat="1" ht="45" hidden="1" outlineLevel="2">
      <c r="A19" s="40">
        <v>1</v>
      </c>
      <c r="B19" s="41" t="s">
        <v>231</v>
      </c>
      <c r="C19" s="40" t="s">
        <v>88</v>
      </c>
      <c r="D19" s="42">
        <v>35.14</v>
      </c>
      <c r="E19" s="42">
        <v>0</v>
      </c>
      <c r="F19" s="42">
        <v>0</v>
      </c>
      <c r="G19" s="42">
        <v>0</v>
      </c>
      <c r="H19" s="42">
        <f>E19+F19+G19</f>
        <v>0</v>
      </c>
      <c r="I19" s="42">
        <f>H19*D19</f>
        <v>0</v>
      </c>
      <c r="J19" s="41" t="s">
        <v>232</v>
      </c>
    </row>
    <row r="20" spans="1:10" s="31" customFormat="1" hidden="1" outlineLevel="2">
      <c r="A20" s="40"/>
      <c r="B20" s="41" t="s">
        <v>113</v>
      </c>
      <c r="C20" s="40"/>
      <c r="D20" s="42"/>
      <c r="E20" s="42"/>
      <c r="F20" s="42"/>
      <c r="G20" s="42"/>
      <c r="H20" s="42"/>
      <c r="I20" s="42">
        <f>SUM(I7:I19)</f>
        <v>0</v>
      </c>
      <c r="J20" s="41"/>
    </row>
    <row r="21" spans="1:10" s="30" customFormat="1">
      <c r="A21" s="37" t="s">
        <v>38</v>
      </c>
      <c r="B21" s="38" t="s">
        <v>252</v>
      </c>
      <c r="C21" s="37"/>
      <c r="D21" s="39"/>
      <c r="E21" s="39"/>
      <c r="F21" s="39"/>
      <c r="G21" s="39"/>
      <c r="H21" s="39"/>
      <c r="I21" s="39"/>
      <c r="J21" s="38"/>
    </row>
    <row r="22" spans="1:10" s="31" customFormat="1" outlineLevel="1">
      <c r="A22" s="40"/>
      <c r="B22" s="41" t="s">
        <v>86</v>
      </c>
      <c r="C22" s="40"/>
      <c r="D22" s="42"/>
      <c r="E22" s="42"/>
      <c r="F22" s="42"/>
      <c r="G22" s="42"/>
      <c r="H22" s="42"/>
      <c r="I22" s="42"/>
      <c r="J22" s="41"/>
    </row>
    <row r="23" spans="1:10" s="31" customFormat="1" ht="63" customHeight="1" outlineLevel="2">
      <c r="A23" s="40">
        <v>1</v>
      </c>
      <c r="B23" s="41" t="s">
        <v>87</v>
      </c>
      <c r="C23" s="40" t="s">
        <v>88</v>
      </c>
      <c r="D23" s="42">
        <f>192.8+37.8</f>
        <v>230.6</v>
      </c>
      <c r="E23" s="42">
        <v>0</v>
      </c>
      <c r="F23" s="42">
        <v>0</v>
      </c>
      <c r="G23" s="42">
        <v>0</v>
      </c>
      <c r="H23" s="42">
        <f>E23+F23+G23</f>
        <v>0</v>
      </c>
      <c r="I23" s="42">
        <f>H23*D23</f>
        <v>0</v>
      </c>
      <c r="J23" s="41" t="s">
        <v>89</v>
      </c>
    </row>
    <row r="24" spans="1:10" s="31" customFormat="1" ht="67.5" outlineLevel="2">
      <c r="A24" s="40">
        <v>2</v>
      </c>
      <c r="B24" s="41" t="s">
        <v>253</v>
      </c>
      <c r="C24" s="40" t="s">
        <v>88</v>
      </c>
      <c r="D24" s="42">
        <f>192.8+37.8</f>
        <v>230.6</v>
      </c>
      <c r="E24" s="42">
        <v>0</v>
      </c>
      <c r="F24" s="42">
        <v>0</v>
      </c>
      <c r="G24" s="42">
        <v>0</v>
      </c>
      <c r="H24" s="42">
        <f>E24+F24+G24</f>
        <v>0</v>
      </c>
      <c r="I24" s="42">
        <f>H24*D24</f>
        <v>0</v>
      </c>
      <c r="J24" s="41" t="s">
        <v>254</v>
      </c>
    </row>
    <row r="25" spans="1:10" s="31" customFormat="1" ht="56.25" outlineLevel="2">
      <c r="A25" s="40">
        <v>4</v>
      </c>
      <c r="B25" s="41" t="s">
        <v>94</v>
      </c>
      <c r="C25" s="40" t="s">
        <v>95</v>
      </c>
      <c r="D25" s="42">
        <v>79.86</v>
      </c>
      <c r="E25" s="42">
        <v>0</v>
      </c>
      <c r="F25" s="42">
        <v>0</v>
      </c>
      <c r="G25" s="42">
        <v>0</v>
      </c>
      <c r="H25" s="42">
        <f>E25+F25+G25</f>
        <v>0</v>
      </c>
      <c r="I25" s="42">
        <f>H25*D25</f>
        <v>0</v>
      </c>
      <c r="J25" s="41" t="s">
        <v>217</v>
      </c>
    </row>
    <row r="26" spans="1:10" s="32" customFormat="1" ht="56.25" outlineLevel="2">
      <c r="A26" s="40">
        <v>5</v>
      </c>
      <c r="B26" s="41" t="s">
        <v>255</v>
      </c>
      <c r="C26" s="40" t="s">
        <v>95</v>
      </c>
      <c r="D26" s="42">
        <v>58</v>
      </c>
      <c r="E26" s="42">
        <v>0</v>
      </c>
      <c r="F26" s="42">
        <v>0</v>
      </c>
      <c r="G26" s="42">
        <v>0</v>
      </c>
      <c r="H26" s="42">
        <f>E26+F26+G26</f>
        <v>0</v>
      </c>
      <c r="I26" s="42">
        <f>H26*D26</f>
        <v>0</v>
      </c>
      <c r="J26" s="41" t="s">
        <v>101</v>
      </c>
    </row>
    <row r="27" spans="1:10" s="31" customFormat="1" outlineLevel="1">
      <c r="A27" s="40"/>
      <c r="B27" s="41" t="s">
        <v>102</v>
      </c>
      <c r="C27" s="40"/>
      <c r="D27" s="42"/>
      <c r="E27" s="42"/>
      <c r="F27" s="42"/>
      <c r="G27" s="42"/>
      <c r="H27" s="42"/>
      <c r="I27" s="42"/>
      <c r="J27" s="41"/>
    </row>
    <row r="28" spans="1:10" s="33" customFormat="1" ht="67.5" outlineLevel="2">
      <c r="A28" s="43">
        <v>1</v>
      </c>
      <c r="B28" s="41" t="s">
        <v>103</v>
      </c>
      <c r="C28" s="43" t="s">
        <v>104</v>
      </c>
      <c r="D28" s="44">
        <f>(79.86-4.8-6.8)*2.4</f>
        <v>163.82</v>
      </c>
      <c r="E28" s="42">
        <v>0</v>
      </c>
      <c r="F28" s="42">
        <v>0</v>
      </c>
      <c r="G28" s="42">
        <v>0</v>
      </c>
      <c r="H28" s="42">
        <f>E28+F28+G28</f>
        <v>0</v>
      </c>
      <c r="I28" s="42">
        <f>H28*D28</f>
        <v>0</v>
      </c>
      <c r="J28" s="41" t="s">
        <v>105</v>
      </c>
    </row>
    <row r="29" spans="1:10" s="31" customFormat="1" ht="67.5" outlineLevel="2">
      <c r="A29" s="43">
        <v>2</v>
      </c>
      <c r="B29" s="41" t="s">
        <v>256</v>
      </c>
      <c r="C29" s="43" t="s">
        <v>104</v>
      </c>
      <c r="D29" s="44">
        <f>(79.86-4.8-6.8)*2.4</f>
        <v>163.82</v>
      </c>
      <c r="E29" s="42">
        <v>0</v>
      </c>
      <c r="F29" s="42">
        <v>0</v>
      </c>
      <c r="G29" s="42">
        <v>0</v>
      </c>
      <c r="H29" s="42">
        <f>E29+F29+G29</f>
        <v>0</v>
      </c>
      <c r="I29" s="42">
        <f>H29*D29</f>
        <v>0</v>
      </c>
      <c r="J29" s="41" t="s">
        <v>257</v>
      </c>
    </row>
    <row r="30" spans="1:10" s="31" customFormat="1" ht="56.25" outlineLevel="2">
      <c r="A30" s="40">
        <v>3</v>
      </c>
      <c r="B30" s="41" t="s">
        <v>120</v>
      </c>
      <c r="C30" s="40" t="s">
        <v>111</v>
      </c>
      <c r="D30" s="42">
        <v>2</v>
      </c>
      <c r="E30" s="42">
        <v>0</v>
      </c>
      <c r="F30" s="42">
        <v>0</v>
      </c>
      <c r="G30" s="42">
        <v>0</v>
      </c>
      <c r="H30" s="42">
        <f>E30+F30+G30</f>
        <v>0</v>
      </c>
      <c r="I30" s="42">
        <f>H30*D30</f>
        <v>0</v>
      </c>
      <c r="J30" s="41" t="s">
        <v>169</v>
      </c>
    </row>
    <row r="31" spans="1:10" s="31" customFormat="1" outlineLevel="2">
      <c r="A31" s="40"/>
      <c r="B31" s="41" t="s">
        <v>113</v>
      </c>
      <c r="C31" s="40"/>
      <c r="D31" s="42"/>
      <c r="E31" s="42"/>
      <c r="F31" s="42"/>
      <c r="G31" s="42"/>
      <c r="H31" s="42"/>
      <c r="I31" s="42">
        <f>SUM(I23:I30)</f>
        <v>0</v>
      </c>
      <c r="J31" s="41"/>
    </row>
    <row r="32" spans="1:10" s="30" customFormat="1">
      <c r="A32" s="37" t="s">
        <v>122</v>
      </c>
      <c r="B32" s="38" t="s">
        <v>258</v>
      </c>
      <c r="C32" s="37"/>
      <c r="D32" s="39"/>
      <c r="E32" s="39"/>
      <c r="F32" s="39"/>
      <c r="G32" s="39"/>
      <c r="H32" s="39"/>
      <c r="I32" s="39"/>
      <c r="J32" s="38"/>
    </row>
    <row r="33" spans="1:10" s="31" customFormat="1" outlineLevel="1">
      <c r="A33" s="40"/>
      <c r="B33" s="41" t="s">
        <v>86</v>
      </c>
      <c r="C33" s="40"/>
      <c r="D33" s="42"/>
      <c r="E33" s="42"/>
      <c r="F33" s="42"/>
      <c r="G33" s="42"/>
      <c r="H33" s="42"/>
      <c r="I33" s="42"/>
      <c r="J33" s="41"/>
    </row>
    <row r="34" spans="1:10" s="31" customFormat="1" ht="63" customHeight="1" outlineLevel="2">
      <c r="A34" s="40">
        <v>1</v>
      </c>
      <c r="B34" s="41" t="s">
        <v>87</v>
      </c>
      <c r="C34" s="40" t="s">
        <v>88</v>
      </c>
      <c r="D34" s="42">
        <v>25.4</v>
      </c>
      <c r="E34" s="42">
        <v>0</v>
      </c>
      <c r="F34" s="42">
        <v>0</v>
      </c>
      <c r="G34" s="42">
        <v>0</v>
      </c>
      <c r="H34" s="42">
        <f t="shared" ref="H34:H37" si="2">E34+F34+G34</f>
        <v>0</v>
      </c>
      <c r="I34" s="42">
        <f t="shared" ref="I34:I37" si="3">H34*D34</f>
        <v>0</v>
      </c>
      <c r="J34" s="41" t="s">
        <v>89</v>
      </c>
    </row>
    <row r="35" spans="1:10" s="31" customFormat="1" ht="67.5" outlineLevel="2">
      <c r="A35" s="40">
        <v>2</v>
      </c>
      <c r="B35" s="41" t="s">
        <v>259</v>
      </c>
      <c r="C35" s="40" t="s">
        <v>88</v>
      </c>
      <c r="D35" s="42">
        <v>25.4</v>
      </c>
      <c r="E35" s="42">
        <v>0</v>
      </c>
      <c r="F35" s="42">
        <v>0</v>
      </c>
      <c r="G35" s="42">
        <v>0</v>
      </c>
      <c r="H35" s="42">
        <f t="shared" si="2"/>
        <v>0</v>
      </c>
      <c r="I35" s="42">
        <f t="shared" si="3"/>
        <v>0</v>
      </c>
      <c r="J35" s="41" t="s">
        <v>214</v>
      </c>
    </row>
    <row r="36" spans="1:10" s="31" customFormat="1" ht="56.25" outlineLevel="2">
      <c r="A36" s="40">
        <v>3</v>
      </c>
      <c r="B36" s="41" t="s">
        <v>94</v>
      </c>
      <c r="C36" s="40" t="s">
        <v>95</v>
      </c>
      <c r="D36" s="42">
        <v>15.8</v>
      </c>
      <c r="E36" s="42">
        <v>0</v>
      </c>
      <c r="F36" s="42">
        <v>0</v>
      </c>
      <c r="G36" s="42">
        <v>0</v>
      </c>
      <c r="H36" s="42">
        <f t="shared" si="2"/>
        <v>0</v>
      </c>
      <c r="I36" s="42">
        <f t="shared" si="3"/>
        <v>0</v>
      </c>
      <c r="J36" s="41" t="s">
        <v>217</v>
      </c>
    </row>
    <row r="37" spans="1:10" s="32" customFormat="1" ht="56.25" outlineLevel="2">
      <c r="A37" s="40">
        <v>4</v>
      </c>
      <c r="B37" s="41" t="s">
        <v>255</v>
      </c>
      <c r="C37" s="40" t="s">
        <v>95</v>
      </c>
      <c r="D37" s="42">
        <v>2</v>
      </c>
      <c r="E37" s="42">
        <v>0</v>
      </c>
      <c r="F37" s="42">
        <v>0</v>
      </c>
      <c r="G37" s="42">
        <v>0</v>
      </c>
      <c r="H37" s="42">
        <f t="shared" si="2"/>
        <v>0</v>
      </c>
      <c r="I37" s="42">
        <f t="shared" si="3"/>
        <v>0</v>
      </c>
      <c r="J37" s="41" t="s">
        <v>101</v>
      </c>
    </row>
    <row r="38" spans="1:10" s="31" customFormat="1" outlineLevel="1">
      <c r="A38" s="40"/>
      <c r="B38" s="41" t="s">
        <v>102</v>
      </c>
      <c r="C38" s="40"/>
      <c r="D38" s="42"/>
      <c r="E38" s="42"/>
      <c r="F38" s="42"/>
      <c r="G38" s="42"/>
      <c r="H38" s="42"/>
      <c r="I38" s="42"/>
      <c r="J38" s="41"/>
    </row>
    <row r="39" spans="1:10" s="33" customFormat="1" ht="67.5" outlineLevel="2">
      <c r="A39" s="43">
        <v>1</v>
      </c>
      <c r="B39" s="41" t="s">
        <v>103</v>
      </c>
      <c r="C39" s="43" t="s">
        <v>104</v>
      </c>
      <c r="D39" s="44">
        <f>14.9*2.4*2</f>
        <v>71.52</v>
      </c>
      <c r="E39" s="42">
        <v>0</v>
      </c>
      <c r="F39" s="42">
        <v>0</v>
      </c>
      <c r="G39" s="42">
        <v>0</v>
      </c>
      <c r="H39" s="42">
        <f>E39+F39+G39</f>
        <v>0</v>
      </c>
      <c r="I39" s="42">
        <f>H39*D39</f>
        <v>0</v>
      </c>
      <c r="J39" s="41" t="s">
        <v>105</v>
      </c>
    </row>
    <row r="40" spans="1:10" s="31" customFormat="1" ht="146.25" outlineLevel="2">
      <c r="A40" s="43">
        <v>2</v>
      </c>
      <c r="B40" s="41" t="s">
        <v>106</v>
      </c>
      <c r="C40" s="43" t="s">
        <v>104</v>
      </c>
      <c r="D40" s="44">
        <f>14.9*2.4*2</f>
        <v>71.52</v>
      </c>
      <c r="E40" s="42">
        <v>0</v>
      </c>
      <c r="F40" s="42">
        <v>0</v>
      </c>
      <c r="G40" s="42">
        <v>0</v>
      </c>
      <c r="H40" s="42">
        <f>E40+F40+G40</f>
        <v>0</v>
      </c>
      <c r="I40" s="42">
        <f>H40*D40</f>
        <v>0</v>
      </c>
      <c r="J40" s="41" t="s">
        <v>168</v>
      </c>
    </row>
    <row r="41" spans="1:10" s="31" customFormat="1" outlineLevel="2">
      <c r="A41" s="40"/>
      <c r="B41" s="41" t="s">
        <v>113</v>
      </c>
      <c r="C41" s="40"/>
      <c r="D41" s="42"/>
      <c r="E41" s="42"/>
      <c r="F41" s="42"/>
      <c r="G41" s="42"/>
      <c r="H41" s="42"/>
      <c r="I41" s="42">
        <f>SUM(I34:I40)</f>
        <v>0</v>
      </c>
      <c r="J41" s="41"/>
    </row>
    <row r="42" spans="1:10" s="30" customFormat="1" collapsed="1">
      <c r="A42" s="37" t="s">
        <v>132</v>
      </c>
      <c r="B42" s="38" t="s">
        <v>260</v>
      </c>
      <c r="C42" s="37"/>
      <c r="D42" s="39"/>
      <c r="E42" s="39"/>
      <c r="F42" s="39"/>
      <c r="G42" s="39"/>
      <c r="H42" s="39"/>
      <c r="I42" s="39"/>
      <c r="J42" s="38"/>
    </row>
    <row r="43" spans="1:10" s="31" customFormat="1" hidden="1" outlineLevel="1">
      <c r="A43" s="40"/>
      <c r="B43" s="41" t="s">
        <v>86</v>
      </c>
      <c r="C43" s="40"/>
      <c r="D43" s="42"/>
      <c r="E43" s="42"/>
      <c r="F43" s="42"/>
      <c r="G43" s="42"/>
      <c r="H43" s="42"/>
      <c r="I43" s="42"/>
      <c r="J43" s="41"/>
    </row>
    <row r="44" spans="1:10" s="31" customFormat="1" ht="63" hidden="1" customHeight="1" outlineLevel="2">
      <c r="A44" s="40">
        <v>1</v>
      </c>
      <c r="B44" s="41" t="s">
        <v>87</v>
      </c>
      <c r="C44" s="40" t="s">
        <v>88</v>
      </c>
      <c r="D44" s="42">
        <f>40.61+7.2+15.47</f>
        <v>63.28</v>
      </c>
      <c r="E44" s="42">
        <v>0</v>
      </c>
      <c r="F44" s="42">
        <v>0</v>
      </c>
      <c r="G44" s="42">
        <v>0</v>
      </c>
      <c r="H44" s="42">
        <f>E44+F44+G44</f>
        <v>0</v>
      </c>
      <c r="I44" s="42">
        <f>H44*D44</f>
        <v>0</v>
      </c>
      <c r="J44" s="41" t="s">
        <v>89</v>
      </c>
    </row>
    <row r="45" spans="1:10" s="31" customFormat="1" ht="67.5" hidden="1" outlineLevel="2">
      <c r="A45" s="40">
        <v>2</v>
      </c>
      <c r="B45" s="41" t="s">
        <v>261</v>
      </c>
      <c r="C45" s="40" t="s">
        <v>88</v>
      </c>
      <c r="D45" s="42">
        <f>40.61+7.2+15.47</f>
        <v>63.28</v>
      </c>
      <c r="E45" s="42">
        <v>0</v>
      </c>
      <c r="F45" s="42">
        <v>0</v>
      </c>
      <c r="G45" s="42">
        <v>0</v>
      </c>
      <c r="H45" s="42">
        <f>E45+F45+G45</f>
        <v>0</v>
      </c>
      <c r="I45" s="42">
        <f>H45*D45</f>
        <v>0</v>
      </c>
      <c r="J45" s="41" t="s">
        <v>262</v>
      </c>
    </row>
    <row r="46" spans="1:10" s="31" customFormat="1" ht="56.25" hidden="1" outlineLevel="2">
      <c r="A46" s="40">
        <v>4</v>
      </c>
      <c r="B46" s="41" t="s">
        <v>94</v>
      </c>
      <c r="C46" s="40" t="s">
        <v>95</v>
      </c>
      <c r="D46" s="42">
        <f>39.72+10.8+10</f>
        <v>60.52</v>
      </c>
      <c r="E46" s="42">
        <v>0</v>
      </c>
      <c r="F46" s="42">
        <v>0</v>
      </c>
      <c r="G46" s="42">
        <v>0</v>
      </c>
      <c r="H46" s="42">
        <f>E46+F46+G46</f>
        <v>0</v>
      </c>
      <c r="I46" s="42">
        <f>H46*D46</f>
        <v>0</v>
      </c>
      <c r="J46" s="41" t="s">
        <v>217</v>
      </c>
    </row>
    <row r="47" spans="1:10" s="31" customFormat="1" hidden="1" outlineLevel="1">
      <c r="A47" s="40"/>
      <c r="B47" s="41" t="s">
        <v>102</v>
      </c>
      <c r="C47" s="40"/>
      <c r="D47" s="42"/>
      <c r="E47" s="42"/>
      <c r="F47" s="42"/>
      <c r="G47" s="42"/>
      <c r="H47" s="42"/>
      <c r="I47" s="42"/>
      <c r="J47" s="41"/>
    </row>
    <row r="48" spans="1:10" s="33" customFormat="1" ht="67.5" hidden="1" outlineLevel="2">
      <c r="A48" s="43">
        <v>1</v>
      </c>
      <c r="B48" s="41" t="s">
        <v>103</v>
      </c>
      <c r="C48" s="43" t="s">
        <v>104</v>
      </c>
      <c r="D48" s="42">
        <f>(39.72+7.2-9+10)*2.4</f>
        <v>115.01</v>
      </c>
      <c r="E48" s="42">
        <v>0</v>
      </c>
      <c r="F48" s="42">
        <v>0</v>
      </c>
      <c r="G48" s="42">
        <v>0</v>
      </c>
      <c r="H48" s="42">
        <f>E48+F48+G48</f>
        <v>0</v>
      </c>
      <c r="I48" s="42">
        <f>H48*D48</f>
        <v>0</v>
      </c>
      <c r="J48" s="41" t="s">
        <v>105</v>
      </c>
    </row>
    <row r="49" spans="1:10" s="31" customFormat="1" ht="67.5" hidden="1" outlineLevel="2">
      <c r="A49" s="43">
        <v>2</v>
      </c>
      <c r="B49" s="41" t="s">
        <v>219</v>
      </c>
      <c r="C49" s="43" t="s">
        <v>104</v>
      </c>
      <c r="D49" s="42">
        <f>(39.72+7.2-9+10)*2.4</f>
        <v>115.01</v>
      </c>
      <c r="E49" s="42">
        <v>0</v>
      </c>
      <c r="F49" s="42">
        <v>0</v>
      </c>
      <c r="G49" s="42">
        <v>0</v>
      </c>
      <c r="H49" s="42">
        <f>E49+F49+G49</f>
        <v>0</v>
      </c>
      <c r="I49" s="42">
        <f>H49*D49</f>
        <v>0</v>
      </c>
      <c r="J49" s="41" t="s">
        <v>220</v>
      </c>
    </row>
    <row r="50" spans="1:10" s="31" customFormat="1" ht="56.25" hidden="1" outlineLevel="2">
      <c r="A50" s="40">
        <v>3</v>
      </c>
      <c r="B50" s="41" t="s">
        <v>120</v>
      </c>
      <c r="C50" s="40" t="s">
        <v>111</v>
      </c>
      <c r="D50" s="42">
        <v>5</v>
      </c>
      <c r="E50" s="42">
        <v>0</v>
      </c>
      <c r="F50" s="42">
        <v>0</v>
      </c>
      <c r="G50" s="42">
        <v>0</v>
      </c>
      <c r="H50" s="42">
        <f>E50+F50+G50</f>
        <v>0</v>
      </c>
      <c r="I50" s="42">
        <f>H50*D50</f>
        <v>0</v>
      </c>
      <c r="J50" s="41" t="s">
        <v>169</v>
      </c>
    </row>
    <row r="51" spans="1:10" s="31" customFormat="1" hidden="1" outlineLevel="1" collapsed="1">
      <c r="A51" s="40"/>
      <c r="B51" s="41" t="s">
        <v>178</v>
      </c>
      <c r="C51" s="40"/>
      <c r="D51" s="42"/>
      <c r="E51" s="42"/>
      <c r="F51" s="42"/>
      <c r="G51" s="42"/>
      <c r="H51" s="42"/>
      <c r="I51" s="42"/>
      <c r="J51" s="41"/>
    </row>
    <row r="52" spans="1:10" s="31" customFormat="1" ht="45" hidden="1" outlineLevel="2">
      <c r="A52" s="40">
        <v>1</v>
      </c>
      <c r="B52" s="41" t="s">
        <v>231</v>
      </c>
      <c r="C52" s="40" t="s">
        <v>88</v>
      </c>
      <c r="D52" s="42">
        <f>40.61+7.2</f>
        <v>47.81</v>
      </c>
      <c r="E52" s="42">
        <v>0</v>
      </c>
      <c r="F52" s="42">
        <v>0</v>
      </c>
      <c r="G52" s="42">
        <v>0</v>
      </c>
      <c r="H52" s="42">
        <f>E52+F52+G52</f>
        <v>0</v>
      </c>
      <c r="I52" s="42">
        <f>H52*D52</f>
        <v>0</v>
      </c>
      <c r="J52" s="41" t="s">
        <v>232</v>
      </c>
    </row>
    <row r="53" spans="1:10" s="31" customFormat="1" ht="45" hidden="1" outlineLevel="2">
      <c r="A53" s="40">
        <v>2</v>
      </c>
      <c r="B53" s="41" t="s">
        <v>263</v>
      </c>
      <c r="C53" s="40" t="s">
        <v>88</v>
      </c>
      <c r="D53" s="42">
        <f>18.9-1.38-0.5-0.7-0.85</f>
        <v>15.47</v>
      </c>
      <c r="E53" s="42">
        <v>0</v>
      </c>
      <c r="F53" s="42">
        <v>0</v>
      </c>
      <c r="G53" s="42">
        <v>0</v>
      </c>
      <c r="H53" s="42">
        <f>E53+F53+G53</f>
        <v>0</v>
      </c>
      <c r="I53" s="42">
        <f>H53*D53</f>
        <v>0</v>
      </c>
      <c r="J53" s="41" t="s">
        <v>232</v>
      </c>
    </row>
    <row r="54" spans="1:10" s="33" customFormat="1" ht="19.899999999999999" hidden="1" customHeight="1" outlineLevel="2">
      <c r="A54" s="43"/>
      <c r="B54" s="41" t="s">
        <v>113</v>
      </c>
      <c r="C54" s="43"/>
      <c r="D54" s="44"/>
      <c r="E54" s="42"/>
      <c r="F54" s="42"/>
      <c r="G54" s="42"/>
      <c r="H54" s="42"/>
      <c r="I54" s="42">
        <f>SUM(I44:I53)</f>
        <v>0</v>
      </c>
      <c r="J54" s="41"/>
    </row>
    <row r="55" spans="1:10" s="30" customFormat="1">
      <c r="A55" s="37" t="s">
        <v>140</v>
      </c>
      <c r="B55" s="38" t="s">
        <v>264</v>
      </c>
      <c r="C55" s="37"/>
      <c r="D55" s="39"/>
      <c r="E55" s="39"/>
      <c r="F55" s="39"/>
      <c r="G55" s="39"/>
      <c r="H55" s="39"/>
      <c r="I55" s="39"/>
      <c r="J55" s="38"/>
    </row>
    <row r="56" spans="1:10" s="31" customFormat="1" outlineLevel="1">
      <c r="A56" s="40"/>
      <c r="B56" s="41" t="s">
        <v>86</v>
      </c>
      <c r="C56" s="40"/>
      <c r="D56" s="42"/>
      <c r="E56" s="42"/>
      <c r="F56" s="42"/>
      <c r="G56" s="42"/>
      <c r="H56" s="42"/>
      <c r="I56" s="42"/>
      <c r="J56" s="41"/>
    </row>
    <row r="57" spans="1:10" s="31" customFormat="1" ht="63" customHeight="1" outlineLevel="2">
      <c r="A57" s="40">
        <v>1</v>
      </c>
      <c r="B57" s="41" t="s">
        <v>87</v>
      </c>
      <c r="C57" s="40" t="s">
        <v>88</v>
      </c>
      <c r="D57" s="42">
        <f>(14.22+12.64+9.76)*2</f>
        <v>73.239999999999995</v>
      </c>
      <c r="E57" s="42">
        <v>0</v>
      </c>
      <c r="F57" s="42">
        <v>0</v>
      </c>
      <c r="G57" s="42">
        <v>0</v>
      </c>
      <c r="H57" s="42">
        <f t="shared" ref="H57:H61" si="4">E57+F57+G57</f>
        <v>0</v>
      </c>
      <c r="I57" s="42">
        <f t="shared" ref="I57:I61" si="5">H57*D57</f>
        <v>0</v>
      </c>
      <c r="J57" s="41" t="s">
        <v>89</v>
      </c>
    </row>
    <row r="58" spans="1:10" s="31" customFormat="1" ht="67.5" outlineLevel="2">
      <c r="A58" s="40">
        <v>2</v>
      </c>
      <c r="B58" s="41" t="s">
        <v>90</v>
      </c>
      <c r="C58" s="40" t="s">
        <v>88</v>
      </c>
      <c r="D58" s="42">
        <f>73.24+(11.2+9.4+12.7)*0.15*2-44.62</f>
        <v>38.61</v>
      </c>
      <c r="E58" s="42">
        <v>0</v>
      </c>
      <c r="F58" s="42">
        <v>0</v>
      </c>
      <c r="G58" s="42">
        <v>0</v>
      </c>
      <c r="H58" s="42">
        <f t="shared" si="4"/>
        <v>0</v>
      </c>
      <c r="I58" s="42">
        <f t="shared" si="5"/>
        <v>0</v>
      </c>
      <c r="J58" s="41" t="s">
        <v>214</v>
      </c>
    </row>
    <row r="59" spans="1:10" s="31" customFormat="1" ht="67.5" outlineLevel="2">
      <c r="A59" s="40">
        <v>3</v>
      </c>
      <c r="B59" s="41" t="s">
        <v>215</v>
      </c>
      <c r="C59" s="40" t="s">
        <v>88</v>
      </c>
      <c r="D59" s="42">
        <f>(7.25+5.42+9.64)*2</f>
        <v>44.62</v>
      </c>
      <c r="E59" s="42">
        <v>0</v>
      </c>
      <c r="F59" s="42">
        <v>0</v>
      </c>
      <c r="G59" s="42">
        <v>0</v>
      </c>
      <c r="H59" s="42">
        <f t="shared" si="4"/>
        <v>0</v>
      </c>
      <c r="I59" s="42">
        <f t="shared" si="5"/>
        <v>0</v>
      </c>
      <c r="J59" s="41" t="s">
        <v>216</v>
      </c>
    </row>
    <row r="60" spans="1:10" s="31" customFormat="1" ht="56.25" outlineLevel="2">
      <c r="A60" s="40">
        <v>4</v>
      </c>
      <c r="B60" s="41" t="s">
        <v>94</v>
      </c>
      <c r="C60" s="40" t="s">
        <v>95</v>
      </c>
      <c r="D60" s="42">
        <f>(15.6+14.3+12.5-2.7)*2</f>
        <v>79.400000000000006</v>
      </c>
      <c r="E60" s="42">
        <v>0</v>
      </c>
      <c r="F60" s="42">
        <v>0</v>
      </c>
      <c r="G60" s="42">
        <v>0</v>
      </c>
      <c r="H60" s="42">
        <f t="shared" si="4"/>
        <v>0</v>
      </c>
      <c r="I60" s="42">
        <f t="shared" si="5"/>
        <v>0</v>
      </c>
      <c r="J60" s="41" t="s">
        <v>217</v>
      </c>
    </row>
    <row r="61" spans="1:10" s="32" customFormat="1" ht="56.25" outlineLevel="2">
      <c r="A61" s="40">
        <v>5</v>
      </c>
      <c r="B61" s="41" t="s">
        <v>218</v>
      </c>
      <c r="C61" s="40" t="s">
        <v>95</v>
      </c>
      <c r="D61" s="42">
        <v>16</v>
      </c>
      <c r="E61" s="42">
        <v>0</v>
      </c>
      <c r="F61" s="42">
        <v>0</v>
      </c>
      <c r="G61" s="42">
        <v>0</v>
      </c>
      <c r="H61" s="42">
        <f t="shared" si="4"/>
        <v>0</v>
      </c>
      <c r="I61" s="42">
        <f t="shared" si="5"/>
        <v>0</v>
      </c>
      <c r="J61" s="41" t="s">
        <v>101</v>
      </c>
    </row>
    <row r="62" spans="1:10" s="31" customFormat="1" outlineLevel="1">
      <c r="A62" s="40"/>
      <c r="B62" s="41" t="s">
        <v>102</v>
      </c>
      <c r="C62" s="40"/>
      <c r="D62" s="42"/>
      <c r="E62" s="42"/>
      <c r="F62" s="42"/>
      <c r="G62" s="42"/>
      <c r="H62" s="42"/>
      <c r="I62" s="42"/>
      <c r="J62" s="41"/>
    </row>
    <row r="63" spans="1:10" s="33" customFormat="1" ht="67.5" outlineLevel="2">
      <c r="A63" s="43">
        <v>1</v>
      </c>
      <c r="B63" s="41" t="s">
        <v>103</v>
      </c>
      <c r="C63" s="43" t="s">
        <v>104</v>
      </c>
      <c r="D63" s="44">
        <f>(15.6+14.3+12.5-0.9)*2*2.4</f>
        <v>199.2</v>
      </c>
      <c r="E63" s="42">
        <v>0</v>
      </c>
      <c r="F63" s="42">
        <v>0</v>
      </c>
      <c r="G63" s="42">
        <v>0</v>
      </c>
      <c r="H63" s="42">
        <f>E63+F63+G63</f>
        <v>0</v>
      </c>
      <c r="I63" s="42">
        <f>H63*D63</f>
        <v>0</v>
      </c>
      <c r="J63" s="41" t="s">
        <v>105</v>
      </c>
    </row>
    <row r="64" spans="1:10" s="31" customFormat="1" ht="67.5" outlineLevel="2">
      <c r="A64" s="43">
        <v>2</v>
      </c>
      <c r="B64" s="41" t="s">
        <v>265</v>
      </c>
      <c r="C64" s="43" t="s">
        <v>104</v>
      </c>
      <c r="D64" s="44">
        <f>19.8*2.4</f>
        <v>47.52</v>
      </c>
      <c r="E64" s="42">
        <v>0</v>
      </c>
      <c r="F64" s="42">
        <v>0</v>
      </c>
      <c r="G64" s="42">
        <v>0</v>
      </c>
      <c r="H64" s="42">
        <f>E64+F64+G64</f>
        <v>0</v>
      </c>
      <c r="I64" s="42">
        <f>H64*D64</f>
        <v>0</v>
      </c>
      <c r="J64" s="41" t="s">
        <v>266</v>
      </c>
    </row>
    <row r="65" spans="1:10" s="31" customFormat="1" ht="123.75" outlineLevel="2">
      <c r="A65" s="43">
        <v>3</v>
      </c>
      <c r="B65" s="41" t="s">
        <v>267</v>
      </c>
      <c r="C65" s="43" t="s">
        <v>104</v>
      </c>
      <c r="D65" s="44">
        <f>199.2-47.52</f>
        <v>151.68</v>
      </c>
      <c r="E65" s="42">
        <v>0</v>
      </c>
      <c r="F65" s="42">
        <v>0</v>
      </c>
      <c r="G65" s="42">
        <v>0</v>
      </c>
      <c r="H65" s="42">
        <f>E65+F65+G65</f>
        <v>0</v>
      </c>
      <c r="I65" s="42">
        <f>H65*D65</f>
        <v>0</v>
      </c>
      <c r="J65" s="41" t="s">
        <v>241</v>
      </c>
    </row>
    <row r="66" spans="1:10" s="31" customFormat="1" ht="56.25" outlineLevel="2">
      <c r="A66" s="40">
        <v>4</v>
      </c>
      <c r="B66" s="41" t="s">
        <v>120</v>
      </c>
      <c r="C66" s="40" t="s">
        <v>111</v>
      </c>
      <c r="D66" s="42">
        <v>6</v>
      </c>
      <c r="E66" s="42">
        <v>0</v>
      </c>
      <c r="F66" s="42">
        <v>0</v>
      </c>
      <c r="G66" s="42">
        <v>0</v>
      </c>
      <c r="H66" s="42">
        <f>E66+F66+G66</f>
        <v>0</v>
      </c>
      <c r="I66" s="42">
        <f>H66*D66</f>
        <v>0</v>
      </c>
      <c r="J66" s="41" t="s">
        <v>169</v>
      </c>
    </row>
    <row r="67" spans="1:10" s="31" customFormat="1" ht="22.5" outlineLevel="1">
      <c r="A67" s="40"/>
      <c r="B67" s="41" t="s">
        <v>178</v>
      </c>
      <c r="C67" s="40"/>
      <c r="D67" s="42"/>
      <c r="E67" s="42"/>
      <c r="F67" s="42"/>
      <c r="G67" s="42"/>
      <c r="H67" s="42"/>
      <c r="I67" s="42"/>
      <c r="J67" s="41" t="s">
        <v>268</v>
      </c>
    </row>
    <row r="68" spans="1:10" s="31" customFormat="1" ht="56.25" outlineLevel="2">
      <c r="A68" s="40">
        <v>1</v>
      </c>
      <c r="B68" s="41" t="s">
        <v>269</v>
      </c>
      <c r="C68" s="40" t="s">
        <v>88</v>
      </c>
      <c r="D68" s="42">
        <v>73.239999999999995</v>
      </c>
      <c r="E68" s="42">
        <v>0</v>
      </c>
      <c r="F68" s="42">
        <v>0</v>
      </c>
      <c r="G68" s="42">
        <v>0</v>
      </c>
      <c r="H68" s="42">
        <f>E68+F68+G68</f>
        <v>0</v>
      </c>
      <c r="I68" s="42">
        <f>H68*D68</f>
        <v>0</v>
      </c>
      <c r="J68" s="41" t="s">
        <v>270</v>
      </c>
    </row>
    <row r="69" spans="1:10" s="31" customFormat="1" ht="18" customHeight="1" outlineLevel="2">
      <c r="A69" s="40"/>
      <c r="B69" s="41" t="s">
        <v>113</v>
      </c>
      <c r="C69" s="40"/>
      <c r="D69" s="42"/>
      <c r="E69" s="42"/>
      <c r="F69" s="42"/>
      <c r="G69" s="42"/>
      <c r="H69" s="42"/>
      <c r="I69" s="42">
        <f>SUM(I57:I68)</f>
        <v>0</v>
      </c>
      <c r="J69" s="41"/>
    </row>
    <row r="70" spans="1:10" s="30" customFormat="1">
      <c r="A70" s="37" t="s">
        <v>143</v>
      </c>
      <c r="B70" s="38" t="s">
        <v>271</v>
      </c>
      <c r="C70" s="37"/>
      <c r="D70" s="39"/>
      <c r="E70" s="39"/>
      <c r="F70" s="39"/>
      <c r="G70" s="39"/>
      <c r="H70" s="39"/>
      <c r="I70" s="39"/>
      <c r="J70" s="38"/>
    </row>
    <row r="71" spans="1:10" s="31" customFormat="1" outlineLevel="1">
      <c r="A71" s="40"/>
      <c r="B71" s="41" t="s">
        <v>86</v>
      </c>
      <c r="C71" s="40"/>
      <c r="D71" s="42"/>
      <c r="E71" s="42"/>
      <c r="F71" s="42"/>
      <c r="G71" s="42"/>
      <c r="H71" s="42"/>
      <c r="I71" s="42"/>
      <c r="J71" s="41"/>
    </row>
    <row r="72" spans="1:10" s="31" customFormat="1" ht="63" customHeight="1" outlineLevel="2">
      <c r="A72" s="40">
        <v>1</v>
      </c>
      <c r="B72" s="41" t="s">
        <v>87</v>
      </c>
      <c r="C72" s="40" t="s">
        <v>88</v>
      </c>
      <c r="D72" s="42">
        <f>14.22*2</f>
        <v>28.44</v>
      </c>
      <c r="E72" s="42">
        <v>0</v>
      </c>
      <c r="F72" s="42">
        <v>0</v>
      </c>
      <c r="G72" s="42">
        <v>0</v>
      </c>
      <c r="H72" s="42">
        <f t="shared" ref="H72:H76" si="6">E72+F72+G72</f>
        <v>0</v>
      </c>
      <c r="I72" s="42">
        <f t="shared" ref="I72:I76" si="7">H72*D72</f>
        <v>0</v>
      </c>
      <c r="J72" s="41" t="s">
        <v>89</v>
      </c>
    </row>
    <row r="73" spans="1:10" s="31" customFormat="1" ht="33.75" outlineLevel="2">
      <c r="A73" s="40">
        <v>2</v>
      </c>
      <c r="B73" s="41" t="s">
        <v>272</v>
      </c>
      <c r="C73" s="40" t="s">
        <v>88</v>
      </c>
      <c r="D73" s="42">
        <f>9.87*2</f>
        <v>19.739999999999998</v>
      </c>
      <c r="E73" s="42">
        <v>0</v>
      </c>
      <c r="F73" s="42">
        <v>0</v>
      </c>
      <c r="G73" s="42">
        <v>0</v>
      </c>
      <c r="H73" s="42">
        <f t="shared" si="6"/>
        <v>0</v>
      </c>
      <c r="I73" s="42">
        <f t="shared" si="7"/>
        <v>0</v>
      </c>
      <c r="J73" s="41" t="s">
        <v>273</v>
      </c>
    </row>
    <row r="74" spans="1:10" s="31" customFormat="1" ht="67.5" outlineLevel="2">
      <c r="A74" s="40">
        <v>3</v>
      </c>
      <c r="B74" s="41" t="s">
        <v>274</v>
      </c>
      <c r="C74" s="40" t="s">
        <v>88</v>
      </c>
      <c r="D74" s="42">
        <f>28.44-18.24</f>
        <v>10.199999999999999</v>
      </c>
      <c r="E74" s="42">
        <v>0</v>
      </c>
      <c r="F74" s="42">
        <v>0</v>
      </c>
      <c r="G74" s="42">
        <v>0</v>
      </c>
      <c r="H74" s="42">
        <f t="shared" si="6"/>
        <v>0</v>
      </c>
      <c r="I74" s="42">
        <f t="shared" si="7"/>
        <v>0</v>
      </c>
      <c r="J74" s="41" t="s">
        <v>275</v>
      </c>
    </row>
    <row r="75" spans="1:10" s="31" customFormat="1" ht="56.25" outlineLevel="2">
      <c r="A75" s="40">
        <v>4</v>
      </c>
      <c r="B75" s="41" t="s">
        <v>94</v>
      </c>
      <c r="C75" s="40" t="s">
        <v>95</v>
      </c>
      <c r="D75" s="42">
        <f>11.9*2</f>
        <v>23.8</v>
      </c>
      <c r="E75" s="42">
        <v>0</v>
      </c>
      <c r="F75" s="42">
        <v>0</v>
      </c>
      <c r="G75" s="42">
        <v>0</v>
      </c>
      <c r="H75" s="42">
        <f t="shared" si="6"/>
        <v>0</v>
      </c>
      <c r="I75" s="42">
        <f t="shared" si="7"/>
        <v>0</v>
      </c>
      <c r="J75" s="41" t="s">
        <v>217</v>
      </c>
    </row>
    <row r="76" spans="1:10" s="32" customFormat="1" ht="56.25" outlineLevel="2">
      <c r="A76" s="40">
        <v>5</v>
      </c>
      <c r="B76" s="41" t="s">
        <v>255</v>
      </c>
      <c r="C76" s="40" t="s">
        <v>95</v>
      </c>
      <c r="D76" s="42">
        <v>9</v>
      </c>
      <c r="E76" s="42">
        <v>0</v>
      </c>
      <c r="F76" s="42">
        <v>0</v>
      </c>
      <c r="G76" s="42">
        <v>0</v>
      </c>
      <c r="H76" s="42">
        <f t="shared" si="6"/>
        <v>0</v>
      </c>
      <c r="I76" s="42">
        <f t="shared" si="7"/>
        <v>0</v>
      </c>
      <c r="J76" s="41" t="s">
        <v>101</v>
      </c>
    </row>
    <row r="77" spans="1:10" s="31" customFormat="1" outlineLevel="1">
      <c r="A77" s="40"/>
      <c r="B77" s="41" t="s">
        <v>102</v>
      </c>
      <c r="C77" s="40"/>
      <c r="D77" s="42"/>
      <c r="E77" s="42"/>
      <c r="F77" s="42"/>
      <c r="G77" s="42"/>
      <c r="H77" s="42"/>
      <c r="I77" s="42"/>
      <c r="J77" s="41"/>
    </row>
    <row r="78" spans="1:10" s="33" customFormat="1" ht="67.5" outlineLevel="2">
      <c r="A78" s="43">
        <v>1</v>
      </c>
      <c r="B78" s="41" t="s">
        <v>103</v>
      </c>
      <c r="C78" s="43" t="s">
        <v>104</v>
      </c>
      <c r="D78" s="44">
        <f>15.6*2.4*2</f>
        <v>74.88</v>
      </c>
      <c r="E78" s="42">
        <v>0</v>
      </c>
      <c r="F78" s="42">
        <v>0</v>
      </c>
      <c r="G78" s="42">
        <v>0</v>
      </c>
      <c r="H78" s="42">
        <f>E78+F78+G78</f>
        <v>0</v>
      </c>
      <c r="I78" s="42">
        <f>H78*D78</f>
        <v>0</v>
      </c>
      <c r="J78" s="41" t="s">
        <v>105</v>
      </c>
    </row>
    <row r="79" spans="1:10" s="33" customFormat="1" ht="146.25" outlineLevel="2">
      <c r="A79" s="43">
        <v>2</v>
      </c>
      <c r="B79" s="41" t="s">
        <v>267</v>
      </c>
      <c r="C79" s="43" t="s">
        <v>104</v>
      </c>
      <c r="D79" s="44">
        <f>15.6*2.4*2</f>
        <v>74.88</v>
      </c>
      <c r="E79" s="42">
        <v>0</v>
      </c>
      <c r="F79" s="42">
        <v>0</v>
      </c>
      <c r="G79" s="42">
        <v>0</v>
      </c>
      <c r="H79" s="42">
        <f>E79+F79+G79</f>
        <v>0</v>
      </c>
      <c r="I79" s="42">
        <f>H79*D79</f>
        <v>0</v>
      </c>
      <c r="J79" s="41" t="s">
        <v>168</v>
      </c>
    </row>
    <row r="80" spans="1:10" s="31" customFormat="1" ht="33.75" outlineLevel="2">
      <c r="A80" s="43">
        <v>3</v>
      </c>
      <c r="B80" s="41" t="s">
        <v>276</v>
      </c>
      <c r="C80" s="43" t="s">
        <v>104</v>
      </c>
      <c r="D80" s="44">
        <f>4.95*2*1.6+59.04</f>
        <v>74.88</v>
      </c>
      <c r="E80" s="42">
        <v>0</v>
      </c>
      <c r="F80" s="42">
        <v>0</v>
      </c>
      <c r="G80" s="42">
        <v>0</v>
      </c>
      <c r="H80" s="42">
        <f>E80+F80+G80</f>
        <v>0</v>
      </c>
      <c r="I80" s="42">
        <f>H80*D80</f>
        <v>0</v>
      </c>
      <c r="J80" s="41" t="s">
        <v>273</v>
      </c>
    </row>
    <row r="81" spans="1:10" s="31" customFormat="1" ht="18" customHeight="1" outlineLevel="2">
      <c r="A81" s="40"/>
      <c r="B81" s="41" t="s">
        <v>113</v>
      </c>
      <c r="C81" s="40"/>
      <c r="D81" s="42"/>
      <c r="E81" s="42"/>
      <c r="F81" s="42"/>
      <c r="G81" s="42"/>
      <c r="H81" s="42"/>
      <c r="I81" s="42">
        <f>SUM(I72:I80)</f>
        <v>0</v>
      </c>
      <c r="J81" s="41"/>
    </row>
    <row r="82" spans="1:10" s="30" customFormat="1">
      <c r="A82" s="37" t="s">
        <v>146</v>
      </c>
      <c r="B82" s="38" t="s">
        <v>277</v>
      </c>
      <c r="C82" s="37"/>
      <c r="D82" s="39"/>
      <c r="E82" s="39"/>
      <c r="F82" s="39"/>
      <c r="G82" s="39"/>
      <c r="H82" s="39"/>
      <c r="I82" s="39"/>
      <c r="J82" s="38"/>
    </row>
    <row r="83" spans="1:10" s="31" customFormat="1" outlineLevel="1">
      <c r="A83" s="40"/>
      <c r="B83" s="41" t="s">
        <v>86</v>
      </c>
      <c r="C83" s="40"/>
      <c r="D83" s="42"/>
      <c r="E83" s="42"/>
      <c r="F83" s="42"/>
      <c r="G83" s="42"/>
      <c r="H83" s="42"/>
      <c r="I83" s="42"/>
      <c r="J83" s="41"/>
    </row>
    <row r="84" spans="1:10" s="31" customFormat="1" ht="63" customHeight="1" outlineLevel="2">
      <c r="A84" s="40">
        <v>1</v>
      </c>
      <c r="B84" s="41" t="s">
        <v>87</v>
      </c>
      <c r="C84" s="40" t="s">
        <v>88</v>
      </c>
      <c r="D84" s="42">
        <f>14.22*2</f>
        <v>28.44</v>
      </c>
      <c r="E84" s="42">
        <v>0</v>
      </c>
      <c r="F84" s="42">
        <v>0</v>
      </c>
      <c r="G84" s="42">
        <v>0</v>
      </c>
      <c r="H84" s="42">
        <f t="shared" ref="H84:H88" si="8">E84+F84+G84</f>
        <v>0</v>
      </c>
      <c r="I84" s="42">
        <f t="shared" ref="I84:I88" si="9">H84*D84</f>
        <v>0</v>
      </c>
      <c r="J84" s="41" t="s">
        <v>89</v>
      </c>
    </row>
    <row r="85" spans="1:10" s="31" customFormat="1" ht="67.5" outlineLevel="2">
      <c r="A85" s="40">
        <v>2</v>
      </c>
      <c r="B85" s="41" t="s">
        <v>90</v>
      </c>
      <c r="C85" s="40" t="s">
        <v>88</v>
      </c>
      <c r="D85" s="42">
        <f>0.85*3.2*2</f>
        <v>5.44</v>
      </c>
      <c r="E85" s="42">
        <v>0</v>
      </c>
      <c r="F85" s="42">
        <v>0</v>
      </c>
      <c r="G85" s="42">
        <v>0</v>
      </c>
      <c r="H85" s="42">
        <f t="shared" si="8"/>
        <v>0</v>
      </c>
      <c r="I85" s="42">
        <f t="shared" si="9"/>
        <v>0</v>
      </c>
      <c r="J85" s="41" t="s">
        <v>278</v>
      </c>
    </row>
    <row r="86" spans="1:10" s="31" customFormat="1" ht="67.5" outlineLevel="2">
      <c r="A86" s="40">
        <v>3</v>
      </c>
      <c r="B86" s="41" t="s">
        <v>215</v>
      </c>
      <c r="C86" s="40" t="s">
        <v>88</v>
      </c>
      <c r="D86" s="42">
        <f>28.44-5.44</f>
        <v>23</v>
      </c>
      <c r="E86" s="42">
        <v>0</v>
      </c>
      <c r="F86" s="42">
        <v>0</v>
      </c>
      <c r="G86" s="42">
        <v>0</v>
      </c>
      <c r="H86" s="42">
        <f t="shared" si="8"/>
        <v>0</v>
      </c>
      <c r="I86" s="42">
        <f t="shared" si="9"/>
        <v>0</v>
      </c>
      <c r="J86" s="41" t="s">
        <v>216</v>
      </c>
    </row>
    <row r="87" spans="1:10" s="31" customFormat="1" ht="56.25" outlineLevel="2">
      <c r="A87" s="40">
        <v>4</v>
      </c>
      <c r="B87" s="41" t="s">
        <v>94</v>
      </c>
      <c r="C87" s="40" t="s">
        <v>95</v>
      </c>
      <c r="D87" s="42">
        <f>15.6*2</f>
        <v>31.2</v>
      </c>
      <c r="E87" s="42">
        <v>0</v>
      </c>
      <c r="F87" s="42">
        <v>0</v>
      </c>
      <c r="G87" s="42">
        <v>0</v>
      </c>
      <c r="H87" s="42">
        <f t="shared" si="8"/>
        <v>0</v>
      </c>
      <c r="I87" s="42">
        <f t="shared" si="9"/>
        <v>0</v>
      </c>
      <c r="J87" s="41" t="s">
        <v>217</v>
      </c>
    </row>
    <row r="88" spans="1:10" s="32" customFormat="1" ht="56.25" outlineLevel="2">
      <c r="A88" s="40">
        <v>5</v>
      </c>
      <c r="B88" s="41" t="s">
        <v>218</v>
      </c>
      <c r="C88" s="40" t="s">
        <v>95</v>
      </c>
      <c r="D88" s="42">
        <v>6</v>
      </c>
      <c r="E88" s="42">
        <v>0</v>
      </c>
      <c r="F88" s="42">
        <v>0</v>
      </c>
      <c r="G88" s="42">
        <v>0</v>
      </c>
      <c r="H88" s="42">
        <f t="shared" si="8"/>
        <v>0</v>
      </c>
      <c r="I88" s="42">
        <f t="shared" si="9"/>
        <v>0</v>
      </c>
      <c r="J88" s="41" t="s">
        <v>101</v>
      </c>
    </row>
    <row r="89" spans="1:10" s="31" customFormat="1" outlineLevel="1">
      <c r="A89" s="40"/>
      <c r="B89" s="41" t="s">
        <v>102</v>
      </c>
      <c r="C89" s="40"/>
      <c r="D89" s="42"/>
      <c r="E89" s="42"/>
      <c r="F89" s="42"/>
      <c r="G89" s="42"/>
      <c r="H89" s="42"/>
      <c r="I89" s="42"/>
      <c r="J89" s="41"/>
    </row>
    <row r="90" spans="1:10" s="33" customFormat="1" ht="67.5" outlineLevel="2">
      <c r="A90" s="43">
        <v>1</v>
      </c>
      <c r="B90" s="41" t="s">
        <v>103</v>
      </c>
      <c r="C90" s="43" t="s">
        <v>104</v>
      </c>
      <c r="D90" s="44">
        <f>(15.6-0.9)*2.4*2</f>
        <v>70.56</v>
      </c>
      <c r="E90" s="42">
        <v>0</v>
      </c>
      <c r="F90" s="42">
        <v>0</v>
      </c>
      <c r="G90" s="42">
        <v>0</v>
      </c>
      <c r="H90" s="42">
        <f>E90+F90+G90</f>
        <v>0</v>
      </c>
      <c r="I90" s="42">
        <f>H90*D90</f>
        <v>0</v>
      </c>
      <c r="J90" s="41" t="s">
        <v>105</v>
      </c>
    </row>
    <row r="91" spans="1:10" s="31" customFormat="1" ht="67.5" outlineLevel="2">
      <c r="A91" s="43">
        <v>2</v>
      </c>
      <c r="B91" s="41" t="s">
        <v>219</v>
      </c>
      <c r="C91" s="43" t="s">
        <v>104</v>
      </c>
      <c r="D91" s="44">
        <f>(15.6-0.9)*2.4*2-16</f>
        <v>54.56</v>
      </c>
      <c r="E91" s="42">
        <v>0</v>
      </c>
      <c r="F91" s="42">
        <v>0</v>
      </c>
      <c r="G91" s="42">
        <v>0</v>
      </c>
      <c r="H91" s="42">
        <f>E91+F91+G91</f>
        <v>0</v>
      </c>
      <c r="I91" s="42">
        <f>H91*D91</f>
        <v>0</v>
      </c>
      <c r="J91" s="41" t="s">
        <v>279</v>
      </c>
    </row>
    <row r="92" spans="1:10" s="31" customFormat="1" ht="33.75" outlineLevel="2">
      <c r="A92" s="43">
        <v>3</v>
      </c>
      <c r="B92" s="41" t="s">
        <v>276</v>
      </c>
      <c r="C92" s="43" t="s">
        <v>104</v>
      </c>
      <c r="D92" s="44">
        <f>(3.6*2.4+8)*2</f>
        <v>33.28</v>
      </c>
      <c r="E92" s="42">
        <v>0</v>
      </c>
      <c r="F92" s="42">
        <v>0</v>
      </c>
      <c r="G92" s="42">
        <v>0</v>
      </c>
      <c r="H92" s="42">
        <f>E92+F92+G92</f>
        <v>0</v>
      </c>
      <c r="I92" s="42">
        <f>H92*D92</f>
        <v>0</v>
      </c>
      <c r="J92" s="41" t="s">
        <v>273</v>
      </c>
    </row>
    <row r="93" spans="1:10" s="33" customFormat="1" ht="36.950000000000003" customHeight="1" outlineLevel="2">
      <c r="A93" s="43"/>
      <c r="B93" s="41" t="s">
        <v>113</v>
      </c>
      <c r="C93" s="43"/>
      <c r="D93" s="44"/>
      <c r="E93" s="42"/>
      <c r="F93" s="42"/>
      <c r="G93" s="42"/>
      <c r="H93" s="42"/>
      <c r="I93" s="42">
        <f>SUM(I84:I92)</f>
        <v>0</v>
      </c>
      <c r="J93" s="41"/>
    </row>
    <row r="94" spans="1:10" s="30" customFormat="1" collapsed="1">
      <c r="A94" s="37" t="s">
        <v>151</v>
      </c>
      <c r="B94" s="38" t="s">
        <v>280</v>
      </c>
      <c r="C94" s="37"/>
      <c r="D94" s="39"/>
      <c r="E94" s="39"/>
      <c r="F94" s="39"/>
      <c r="G94" s="39"/>
      <c r="H94" s="39"/>
      <c r="I94" s="39"/>
      <c r="J94" s="38"/>
    </row>
    <row r="95" spans="1:10" s="31" customFormat="1" hidden="1" outlineLevel="1" collapsed="1">
      <c r="A95" s="40"/>
      <c r="B95" s="41" t="s">
        <v>86</v>
      </c>
      <c r="C95" s="40"/>
      <c r="D95" s="42"/>
      <c r="E95" s="42"/>
      <c r="F95" s="42"/>
      <c r="G95" s="42"/>
      <c r="H95" s="42"/>
      <c r="I95" s="42"/>
      <c r="J95" s="41"/>
    </row>
    <row r="96" spans="1:10" s="31" customFormat="1" ht="63" hidden="1" customHeight="1" outlineLevel="2">
      <c r="A96" s="40">
        <v>1</v>
      </c>
      <c r="B96" s="41" t="s">
        <v>87</v>
      </c>
      <c r="C96" s="40" t="s">
        <v>88</v>
      </c>
      <c r="D96" s="42">
        <f>35.14+15.47</f>
        <v>50.61</v>
      </c>
      <c r="E96" s="42">
        <v>0</v>
      </c>
      <c r="F96" s="42">
        <v>0</v>
      </c>
      <c r="G96" s="42">
        <v>0</v>
      </c>
      <c r="H96" s="42">
        <f>E96+F96+G96</f>
        <v>0</v>
      </c>
      <c r="I96" s="42">
        <f>H96*D96</f>
        <v>0</v>
      </c>
      <c r="J96" s="41" t="s">
        <v>89</v>
      </c>
    </row>
    <row r="97" spans="1:10" s="31" customFormat="1" ht="67.5" hidden="1" outlineLevel="2">
      <c r="A97" s="40">
        <v>2</v>
      </c>
      <c r="B97" s="41" t="s">
        <v>281</v>
      </c>
      <c r="C97" s="40" t="s">
        <v>88</v>
      </c>
      <c r="D97" s="42">
        <f>35.14+15.47</f>
        <v>50.61</v>
      </c>
      <c r="E97" s="42">
        <v>0</v>
      </c>
      <c r="F97" s="42">
        <v>0</v>
      </c>
      <c r="G97" s="42">
        <v>0</v>
      </c>
      <c r="H97" s="42">
        <f>E97+F97+G97</f>
        <v>0</v>
      </c>
      <c r="I97" s="42">
        <f>H97*D97</f>
        <v>0</v>
      </c>
      <c r="J97" s="41" t="s">
        <v>282</v>
      </c>
    </row>
    <row r="98" spans="1:10" s="31" customFormat="1" ht="56.25" hidden="1" outlineLevel="2">
      <c r="A98" s="40">
        <v>3</v>
      </c>
      <c r="B98" s="41" t="s">
        <v>94</v>
      </c>
      <c r="C98" s="40" t="s">
        <v>95</v>
      </c>
      <c r="D98" s="42">
        <v>61.37</v>
      </c>
      <c r="E98" s="42">
        <v>0</v>
      </c>
      <c r="F98" s="42">
        <v>0</v>
      </c>
      <c r="G98" s="42">
        <v>0</v>
      </c>
      <c r="H98" s="42">
        <f>E98+F98+G98</f>
        <v>0</v>
      </c>
      <c r="I98" s="42">
        <f>H98*D98</f>
        <v>0</v>
      </c>
      <c r="J98" s="41" t="s">
        <v>96</v>
      </c>
    </row>
    <row r="99" spans="1:10" s="31" customFormat="1" hidden="1" outlineLevel="1" collapsed="1">
      <c r="A99" s="40"/>
      <c r="B99" s="41" t="s">
        <v>102</v>
      </c>
      <c r="C99" s="40"/>
      <c r="D99" s="42"/>
      <c r="E99" s="42"/>
      <c r="F99" s="42"/>
      <c r="G99" s="42"/>
      <c r="H99" s="42"/>
      <c r="I99" s="42"/>
      <c r="J99" s="41"/>
    </row>
    <row r="100" spans="1:10" s="33" customFormat="1" ht="67.5" hidden="1" outlineLevel="2">
      <c r="A100" s="43">
        <v>1</v>
      </c>
      <c r="B100" s="41" t="s">
        <v>103</v>
      </c>
      <c r="C100" s="43" t="s">
        <v>104</v>
      </c>
      <c r="D100" s="44">
        <f>(51.37-2.4-9)*2.4+24</f>
        <v>119.93</v>
      </c>
      <c r="E100" s="42">
        <v>0</v>
      </c>
      <c r="F100" s="42">
        <v>0</v>
      </c>
      <c r="G100" s="42">
        <v>0</v>
      </c>
      <c r="H100" s="42">
        <f>E100+F100+G100</f>
        <v>0</v>
      </c>
      <c r="I100" s="42">
        <f>H100*D100</f>
        <v>0</v>
      </c>
      <c r="J100" s="41" t="s">
        <v>105</v>
      </c>
    </row>
    <row r="101" spans="1:10" s="31" customFormat="1" ht="67.5" hidden="1" outlineLevel="2">
      <c r="A101" s="43">
        <v>2</v>
      </c>
      <c r="B101" s="41" t="s">
        <v>219</v>
      </c>
      <c r="C101" s="43" t="s">
        <v>104</v>
      </c>
      <c r="D101" s="44">
        <f>(51.37-2.4-9)*2.4+24</f>
        <v>119.93</v>
      </c>
      <c r="E101" s="42">
        <v>0</v>
      </c>
      <c r="F101" s="42">
        <v>0</v>
      </c>
      <c r="G101" s="42">
        <v>0</v>
      </c>
      <c r="H101" s="42">
        <f>E101+F101+G101</f>
        <v>0</v>
      </c>
      <c r="I101" s="42">
        <f>H101*D101</f>
        <v>0</v>
      </c>
      <c r="J101" s="41" t="s">
        <v>283</v>
      </c>
    </row>
    <row r="102" spans="1:10" s="31" customFormat="1" ht="56.25" hidden="1" outlineLevel="2">
      <c r="A102" s="43">
        <v>3</v>
      </c>
      <c r="B102" s="41" t="s">
        <v>284</v>
      </c>
      <c r="C102" s="43" t="s">
        <v>104</v>
      </c>
      <c r="D102" s="42">
        <f>2.4*2.4</f>
        <v>5.76</v>
      </c>
      <c r="E102" s="42">
        <v>0</v>
      </c>
      <c r="F102" s="42">
        <v>0</v>
      </c>
      <c r="G102" s="42">
        <v>0</v>
      </c>
      <c r="H102" s="42">
        <f>E102+F102+G102</f>
        <v>0</v>
      </c>
      <c r="I102" s="42">
        <f>H102*D102</f>
        <v>0</v>
      </c>
      <c r="J102" s="41" t="s">
        <v>128</v>
      </c>
    </row>
    <row r="103" spans="1:10" s="31" customFormat="1" ht="56.25" hidden="1" outlineLevel="2">
      <c r="A103" s="40">
        <v>4</v>
      </c>
      <c r="B103" s="41" t="s">
        <v>227</v>
      </c>
      <c r="C103" s="40" t="s">
        <v>111</v>
      </c>
      <c r="D103" s="42">
        <v>10</v>
      </c>
      <c r="E103" s="42">
        <v>0</v>
      </c>
      <c r="F103" s="42">
        <v>0</v>
      </c>
      <c r="G103" s="42">
        <v>0</v>
      </c>
      <c r="H103" s="42">
        <f>E103+F103+G103</f>
        <v>0</v>
      </c>
      <c r="I103" s="42">
        <f>H103*D103</f>
        <v>0</v>
      </c>
      <c r="J103" s="41" t="s">
        <v>238</v>
      </c>
    </row>
    <row r="104" spans="1:10" s="31" customFormat="1" hidden="1" outlineLevel="2">
      <c r="A104" s="40"/>
      <c r="B104" s="41" t="s">
        <v>113</v>
      </c>
      <c r="C104" s="40"/>
      <c r="D104" s="42"/>
      <c r="E104" s="42"/>
      <c r="F104" s="42"/>
      <c r="G104" s="42"/>
      <c r="H104" s="42"/>
      <c r="I104" s="42">
        <f>SUM(I96:I103)</f>
        <v>0</v>
      </c>
      <c r="J104" s="41"/>
    </row>
    <row r="105" spans="1:10" s="30" customFormat="1" collapsed="1">
      <c r="A105" s="37" t="s">
        <v>160</v>
      </c>
      <c r="B105" s="38" t="s">
        <v>285</v>
      </c>
      <c r="C105" s="37"/>
      <c r="D105" s="39"/>
      <c r="E105" s="39"/>
      <c r="F105" s="39"/>
      <c r="G105" s="39"/>
      <c r="H105" s="39"/>
      <c r="I105" s="39"/>
      <c r="J105" s="38"/>
    </row>
    <row r="106" spans="1:10" s="31" customFormat="1" hidden="1" outlineLevel="1" collapsed="1">
      <c r="A106" s="40"/>
      <c r="B106" s="41" t="s">
        <v>86</v>
      </c>
      <c r="C106" s="40"/>
      <c r="D106" s="42"/>
      <c r="E106" s="42"/>
      <c r="F106" s="42"/>
      <c r="G106" s="42"/>
      <c r="H106" s="42"/>
      <c r="I106" s="42"/>
      <c r="J106" s="41"/>
    </row>
    <row r="107" spans="1:10" s="31" customFormat="1" ht="67.5" hidden="1" outlineLevel="2">
      <c r="A107" s="40">
        <v>1</v>
      </c>
      <c r="B107" s="41" t="s">
        <v>87</v>
      </c>
      <c r="C107" s="40" t="s">
        <v>88</v>
      </c>
      <c r="D107" s="42">
        <v>2.3199999999999998</v>
      </c>
      <c r="E107" s="42">
        <v>0</v>
      </c>
      <c r="F107" s="42">
        <v>0</v>
      </c>
      <c r="G107" s="42">
        <v>0</v>
      </c>
      <c r="H107" s="42">
        <f t="shared" ref="H107:H110" si="10">E107+F107+G107</f>
        <v>0</v>
      </c>
      <c r="I107" s="42">
        <f t="shared" ref="I107:I110" si="11">H107*D107</f>
        <v>0</v>
      </c>
      <c r="J107" s="41" t="s">
        <v>89</v>
      </c>
    </row>
    <row r="108" spans="1:10" s="31" customFormat="1" ht="67.5" hidden="1" outlineLevel="2">
      <c r="A108" s="43">
        <v>2</v>
      </c>
      <c r="B108" s="41" t="s">
        <v>286</v>
      </c>
      <c r="C108" s="43" t="s">
        <v>104</v>
      </c>
      <c r="D108" s="42">
        <v>2.3199999999999998</v>
      </c>
      <c r="E108" s="42">
        <v>0</v>
      </c>
      <c r="F108" s="42">
        <v>0</v>
      </c>
      <c r="G108" s="42">
        <v>0</v>
      </c>
      <c r="H108" s="42">
        <f t="shared" si="10"/>
        <v>0</v>
      </c>
      <c r="I108" s="42">
        <f t="shared" si="11"/>
        <v>0</v>
      </c>
      <c r="J108" s="41" t="s">
        <v>287</v>
      </c>
    </row>
    <row r="109" spans="1:10" s="31" customFormat="1" ht="56.25" hidden="1" outlineLevel="2">
      <c r="A109" s="40">
        <v>3</v>
      </c>
      <c r="B109" s="41" t="s">
        <v>94</v>
      </c>
      <c r="C109" s="40" t="s">
        <v>95</v>
      </c>
      <c r="D109" s="42">
        <v>6.1</v>
      </c>
      <c r="E109" s="42">
        <v>0</v>
      </c>
      <c r="F109" s="42">
        <v>0</v>
      </c>
      <c r="G109" s="42">
        <v>0</v>
      </c>
      <c r="H109" s="42">
        <f t="shared" si="10"/>
        <v>0</v>
      </c>
      <c r="I109" s="42">
        <f t="shared" si="11"/>
        <v>0</v>
      </c>
      <c r="J109" s="41" t="s">
        <v>217</v>
      </c>
    </row>
    <row r="110" spans="1:10" s="32" customFormat="1" ht="22.5" hidden="1" outlineLevel="2">
      <c r="A110" s="40">
        <v>4</v>
      </c>
      <c r="B110" s="41" t="s">
        <v>190</v>
      </c>
      <c r="C110" s="40" t="s">
        <v>100</v>
      </c>
      <c r="D110" s="42">
        <v>1</v>
      </c>
      <c r="E110" s="42">
        <v>0</v>
      </c>
      <c r="F110" s="42">
        <v>0</v>
      </c>
      <c r="G110" s="42">
        <v>0</v>
      </c>
      <c r="H110" s="42">
        <f t="shared" si="10"/>
        <v>0</v>
      </c>
      <c r="I110" s="42">
        <f t="shared" si="11"/>
        <v>0</v>
      </c>
      <c r="J110" s="41" t="s">
        <v>288</v>
      </c>
    </row>
    <row r="111" spans="1:10" s="31" customFormat="1" hidden="1" outlineLevel="1" collapsed="1">
      <c r="A111" s="40"/>
      <c r="B111" s="41" t="s">
        <v>102</v>
      </c>
      <c r="C111" s="40"/>
      <c r="D111" s="42"/>
      <c r="E111" s="42"/>
      <c r="F111" s="42"/>
      <c r="G111" s="42"/>
      <c r="H111" s="42"/>
      <c r="I111" s="42"/>
      <c r="J111" s="41"/>
    </row>
    <row r="112" spans="1:10" s="33" customFormat="1" ht="67.5" hidden="1" outlineLevel="2">
      <c r="A112" s="43">
        <v>1</v>
      </c>
      <c r="B112" s="41" t="s">
        <v>103</v>
      </c>
      <c r="C112" s="43" t="s">
        <v>104</v>
      </c>
      <c r="D112" s="44">
        <f>5.3*2.2</f>
        <v>11.66</v>
      </c>
      <c r="E112" s="42">
        <v>0</v>
      </c>
      <c r="F112" s="42">
        <v>0</v>
      </c>
      <c r="G112" s="42">
        <v>0</v>
      </c>
      <c r="H112" s="42">
        <f>E112+F112+G112</f>
        <v>0</v>
      </c>
      <c r="I112" s="42">
        <f>H112*D112</f>
        <v>0</v>
      </c>
      <c r="J112" s="41" t="s">
        <v>105</v>
      </c>
    </row>
    <row r="113" spans="1:10" s="31" customFormat="1" ht="67.5" hidden="1" outlineLevel="2">
      <c r="A113" s="43">
        <v>2</v>
      </c>
      <c r="B113" s="41" t="s">
        <v>289</v>
      </c>
      <c r="C113" s="43" t="s">
        <v>104</v>
      </c>
      <c r="D113" s="44">
        <f>5.3*2.2</f>
        <v>11.66</v>
      </c>
      <c r="E113" s="42">
        <v>0</v>
      </c>
      <c r="F113" s="42">
        <v>0</v>
      </c>
      <c r="G113" s="42">
        <v>0</v>
      </c>
      <c r="H113" s="42">
        <f>E113+F113+G113</f>
        <v>0</v>
      </c>
      <c r="I113" s="42">
        <f>H113*D113</f>
        <v>0</v>
      </c>
      <c r="J113" s="41" t="s">
        <v>290</v>
      </c>
    </row>
    <row r="114" spans="1:10" s="31" customFormat="1" ht="56.25" hidden="1" outlineLevel="2">
      <c r="A114" s="40">
        <v>3</v>
      </c>
      <c r="B114" s="41" t="s">
        <v>110</v>
      </c>
      <c r="C114" s="40" t="s">
        <v>111</v>
      </c>
      <c r="D114" s="42">
        <v>1</v>
      </c>
      <c r="E114" s="42">
        <v>0</v>
      </c>
      <c r="F114" s="42">
        <v>0</v>
      </c>
      <c r="G114" s="42">
        <v>0</v>
      </c>
      <c r="H114" s="42">
        <f>E114+F114+G114</f>
        <v>0</v>
      </c>
      <c r="I114" s="42">
        <f>H114*D114</f>
        <v>0</v>
      </c>
      <c r="J114" s="41" t="s">
        <v>243</v>
      </c>
    </row>
    <row r="115" spans="1:10" s="31" customFormat="1" ht="22.5" hidden="1" outlineLevel="1" collapsed="1">
      <c r="A115" s="40"/>
      <c r="B115" s="41" t="s">
        <v>178</v>
      </c>
      <c r="C115" s="40"/>
      <c r="D115" s="42"/>
      <c r="E115" s="42"/>
      <c r="F115" s="42"/>
      <c r="G115" s="42"/>
      <c r="H115" s="42"/>
      <c r="I115" s="42"/>
      <c r="J115" s="41" t="s">
        <v>268</v>
      </c>
    </row>
    <row r="116" spans="1:10" s="31" customFormat="1" ht="45" hidden="1" outlineLevel="2">
      <c r="A116" s="40">
        <v>1</v>
      </c>
      <c r="B116" s="41" t="s">
        <v>179</v>
      </c>
      <c r="C116" s="43" t="s">
        <v>104</v>
      </c>
      <c r="D116" s="42">
        <v>3</v>
      </c>
      <c r="E116" s="42">
        <v>0</v>
      </c>
      <c r="F116" s="42">
        <v>0</v>
      </c>
      <c r="G116" s="42">
        <v>0</v>
      </c>
      <c r="H116" s="42">
        <f>E116+F116+G116</f>
        <v>0</v>
      </c>
      <c r="I116" s="42">
        <f>H116*D116</f>
        <v>0</v>
      </c>
      <c r="J116" s="41" t="s">
        <v>180</v>
      </c>
    </row>
    <row r="117" spans="1:10" s="31" customFormat="1" ht="56.25" hidden="1" outlineLevel="2">
      <c r="A117" s="40">
        <v>2</v>
      </c>
      <c r="B117" s="41" t="s">
        <v>231</v>
      </c>
      <c r="C117" s="40" t="s">
        <v>88</v>
      </c>
      <c r="D117" s="42">
        <v>2.3199999999999998</v>
      </c>
      <c r="E117" s="42">
        <v>0</v>
      </c>
      <c r="F117" s="42">
        <v>0</v>
      </c>
      <c r="G117" s="42">
        <v>0</v>
      </c>
      <c r="H117" s="42">
        <f>E117+F117+G117</f>
        <v>0</v>
      </c>
      <c r="I117" s="42">
        <f>H117*D117</f>
        <v>0</v>
      </c>
      <c r="J117" s="41" t="s">
        <v>291</v>
      </c>
    </row>
    <row r="118" spans="1:10" s="33" customFormat="1" ht="36.950000000000003" hidden="1" customHeight="1" outlineLevel="2">
      <c r="A118" s="43">
        <v>3</v>
      </c>
      <c r="B118" s="41" t="s">
        <v>183</v>
      </c>
      <c r="C118" s="43" t="s">
        <v>100</v>
      </c>
      <c r="D118" s="44">
        <v>1</v>
      </c>
      <c r="E118" s="42">
        <v>0</v>
      </c>
      <c r="F118" s="42">
        <v>0</v>
      </c>
      <c r="G118" s="42">
        <v>0</v>
      </c>
      <c r="H118" s="42">
        <f>G118+F118+E118</f>
        <v>0</v>
      </c>
      <c r="I118" s="42">
        <f>H118*D118</f>
        <v>0</v>
      </c>
      <c r="J118" s="41" t="s">
        <v>184</v>
      </c>
    </row>
    <row r="119" spans="1:10" s="31" customFormat="1" hidden="1" outlineLevel="1" collapsed="1">
      <c r="A119" s="40"/>
      <c r="B119" s="41" t="s">
        <v>185</v>
      </c>
      <c r="C119" s="40"/>
      <c r="D119" s="42"/>
      <c r="E119" s="42"/>
      <c r="F119" s="42"/>
      <c r="G119" s="42"/>
      <c r="H119" s="42"/>
      <c r="I119" s="42"/>
      <c r="J119" s="41"/>
    </row>
    <row r="120" spans="1:10" s="33" customFormat="1" ht="36.950000000000003" hidden="1" customHeight="1" outlineLevel="2">
      <c r="A120" s="43">
        <v>1</v>
      </c>
      <c r="B120" s="41" t="s">
        <v>292</v>
      </c>
      <c r="C120" s="43" t="s">
        <v>100</v>
      </c>
      <c r="D120" s="44">
        <v>1</v>
      </c>
      <c r="E120" s="42">
        <v>0</v>
      </c>
      <c r="F120" s="42">
        <v>0</v>
      </c>
      <c r="G120" s="42">
        <v>0</v>
      </c>
      <c r="H120" s="42">
        <f t="shared" ref="H120:H123" si="12">G120+F120+E120</f>
        <v>0</v>
      </c>
      <c r="I120" s="42">
        <f t="shared" ref="I120:I123" si="13">H120*D120</f>
        <v>0</v>
      </c>
      <c r="J120" s="41" t="s">
        <v>293</v>
      </c>
    </row>
    <row r="121" spans="1:10" s="33" customFormat="1" ht="36.950000000000003" hidden="1" customHeight="1" outlineLevel="2">
      <c r="A121" s="43">
        <v>2</v>
      </c>
      <c r="B121" s="41" t="s">
        <v>196</v>
      </c>
      <c r="C121" s="43" t="s">
        <v>197</v>
      </c>
      <c r="D121" s="44">
        <v>1</v>
      </c>
      <c r="E121" s="42">
        <v>0</v>
      </c>
      <c r="F121" s="42">
        <v>0</v>
      </c>
      <c r="G121" s="42">
        <v>0</v>
      </c>
      <c r="H121" s="42">
        <f t="shared" si="12"/>
        <v>0</v>
      </c>
      <c r="I121" s="42">
        <f t="shared" si="13"/>
        <v>0</v>
      </c>
      <c r="J121" s="41" t="s">
        <v>198</v>
      </c>
    </row>
    <row r="122" spans="1:10" s="33" customFormat="1" ht="36.950000000000003" hidden="1" customHeight="1" outlineLevel="2">
      <c r="A122" s="43">
        <v>3</v>
      </c>
      <c r="B122" s="41" t="s">
        <v>294</v>
      </c>
      <c r="C122" s="43" t="s">
        <v>100</v>
      </c>
      <c r="D122" s="44">
        <v>1</v>
      </c>
      <c r="E122" s="42">
        <v>0</v>
      </c>
      <c r="F122" s="42">
        <v>0</v>
      </c>
      <c r="G122" s="42">
        <v>0</v>
      </c>
      <c r="H122" s="42">
        <f t="shared" si="12"/>
        <v>0</v>
      </c>
      <c r="I122" s="42">
        <f t="shared" si="13"/>
        <v>0</v>
      </c>
      <c r="J122" s="41" t="s">
        <v>295</v>
      </c>
    </row>
    <row r="123" spans="1:10" s="33" customFormat="1" ht="36.950000000000003" hidden="1" customHeight="1" outlineLevel="2">
      <c r="A123" s="43">
        <v>4</v>
      </c>
      <c r="B123" s="41" t="s">
        <v>201</v>
      </c>
      <c r="C123" s="43" t="s">
        <v>100</v>
      </c>
      <c r="D123" s="44">
        <v>1</v>
      </c>
      <c r="E123" s="42">
        <v>0</v>
      </c>
      <c r="F123" s="42">
        <v>0</v>
      </c>
      <c r="G123" s="42">
        <v>0</v>
      </c>
      <c r="H123" s="42">
        <f t="shared" si="12"/>
        <v>0</v>
      </c>
      <c r="I123" s="42">
        <f t="shared" si="13"/>
        <v>0</v>
      </c>
      <c r="J123" s="41" t="s">
        <v>296</v>
      </c>
    </row>
    <row r="124" spans="1:10" s="33" customFormat="1" ht="19.899999999999999" hidden="1" customHeight="1" outlineLevel="2">
      <c r="A124" s="43"/>
      <c r="B124" s="41" t="s">
        <v>113</v>
      </c>
      <c r="C124" s="43"/>
      <c r="D124" s="44"/>
      <c r="E124" s="42"/>
      <c r="F124" s="42"/>
      <c r="G124" s="42"/>
      <c r="H124" s="42"/>
      <c r="I124" s="42">
        <f>SUM(I107:I123)</f>
        <v>0</v>
      </c>
      <c r="J124" s="41"/>
    </row>
    <row r="125" spans="1:10" s="30" customFormat="1" collapsed="1">
      <c r="A125" s="37" t="s">
        <v>163</v>
      </c>
      <c r="B125" s="38" t="s">
        <v>297</v>
      </c>
      <c r="C125" s="37"/>
      <c r="D125" s="39"/>
      <c r="E125" s="39"/>
      <c r="F125" s="39"/>
      <c r="G125" s="39"/>
      <c r="H125" s="39"/>
      <c r="I125" s="39"/>
      <c r="J125" s="38"/>
    </row>
    <row r="126" spans="1:10" s="31" customFormat="1" hidden="1" outlineLevel="1" collapsed="1">
      <c r="A126" s="40"/>
      <c r="B126" s="41" t="s">
        <v>86</v>
      </c>
      <c r="C126" s="40"/>
      <c r="D126" s="42"/>
      <c r="E126" s="42"/>
      <c r="F126" s="42"/>
      <c r="G126" s="42"/>
      <c r="H126" s="42"/>
      <c r="I126" s="42"/>
      <c r="J126" s="41"/>
    </row>
    <row r="127" spans="1:10" s="31" customFormat="1" ht="67.5" hidden="1" outlineLevel="2">
      <c r="A127" s="40">
        <v>1</v>
      </c>
      <c r="B127" s="41" t="s">
        <v>87</v>
      </c>
      <c r="C127" s="40" t="s">
        <v>88</v>
      </c>
      <c r="D127" s="42">
        <v>2.3199999999999998</v>
      </c>
      <c r="E127" s="42">
        <v>0</v>
      </c>
      <c r="F127" s="42">
        <v>0</v>
      </c>
      <c r="G127" s="42">
        <v>0</v>
      </c>
      <c r="H127" s="42">
        <f t="shared" ref="H127:H130" si="14">E127+F127+G127</f>
        <v>0</v>
      </c>
      <c r="I127" s="42">
        <f t="shared" ref="I127:I130" si="15">H127*D127</f>
        <v>0</v>
      </c>
      <c r="J127" s="41" t="s">
        <v>89</v>
      </c>
    </row>
    <row r="128" spans="1:10" s="31" customFormat="1" ht="67.5" hidden="1" outlineLevel="2">
      <c r="A128" s="43">
        <v>2</v>
      </c>
      <c r="B128" s="41" t="s">
        <v>286</v>
      </c>
      <c r="C128" s="43" t="s">
        <v>104</v>
      </c>
      <c r="D128" s="42">
        <v>2.3199999999999998</v>
      </c>
      <c r="E128" s="42">
        <v>0</v>
      </c>
      <c r="F128" s="42">
        <v>0</v>
      </c>
      <c r="G128" s="42">
        <v>0</v>
      </c>
      <c r="H128" s="42">
        <f t="shared" si="14"/>
        <v>0</v>
      </c>
      <c r="I128" s="42">
        <f t="shared" si="15"/>
        <v>0</v>
      </c>
      <c r="J128" s="41" t="s">
        <v>287</v>
      </c>
    </row>
    <row r="129" spans="1:10" s="31" customFormat="1" ht="56.25" hidden="1" outlineLevel="2">
      <c r="A129" s="40">
        <v>3</v>
      </c>
      <c r="B129" s="41" t="s">
        <v>94</v>
      </c>
      <c r="C129" s="40" t="s">
        <v>95</v>
      </c>
      <c r="D129" s="42">
        <v>6.1</v>
      </c>
      <c r="E129" s="42">
        <v>0</v>
      </c>
      <c r="F129" s="42">
        <v>0</v>
      </c>
      <c r="G129" s="42">
        <v>0</v>
      </c>
      <c r="H129" s="42">
        <f t="shared" si="14"/>
        <v>0</v>
      </c>
      <c r="I129" s="42">
        <f t="shared" si="15"/>
        <v>0</v>
      </c>
      <c r="J129" s="41" t="s">
        <v>217</v>
      </c>
    </row>
    <row r="130" spans="1:10" s="32" customFormat="1" ht="22.5" hidden="1" outlineLevel="2">
      <c r="A130" s="40">
        <v>4</v>
      </c>
      <c r="B130" s="41" t="s">
        <v>190</v>
      </c>
      <c r="C130" s="40" t="s">
        <v>100</v>
      </c>
      <c r="D130" s="42">
        <v>1</v>
      </c>
      <c r="E130" s="42">
        <v>0</v>
      </c>
      <c r="F130" s="42">
        <v>0</v>
      </c>
      <c r="G130" s="42">
        <v>0</v>
      </c>
      <c r="H130" s="42">
        <f t="shared" si="14"/>
        <v>0</v>
      </c>
      <c r="I130" s="42">
        <f t="shared" si="15"/>
        <v>0</v>
      </c>
      <c r="J130" s="41" t="s">
        <v>288</v>
      </c>
    </row>
    <row r="131" spans="1:10" s="31" customFormat="1" hidden="1" outlineLevel="1" collapsed="1">
      <c r="A131" s="40"/>
      <c r="B131" s="41" t="s">
        <v>102</v>
      </c>
      <c r="C131" s="40"/>
      <c r="D131" s="42"/>
      <c r="E131" s="42"/>
      <c r="F131" s="42"/>
      <c r="G131" s="42"/>
      <c r="H131" s="42"/>
      <c r="I131" s="42"/>
      <c r="J131" s="41"/>
    </row>
    <row r="132" spans="1:10" s="33" customFormat="1" ht="67.5" hidden="1" outlineLevel="2">
      <c r="A132" s="43">
        <v>1</v>
      </c>
      <c r="B132" s="41" t="s">
        <v>103</v>
      </c>
      <c r="C132" s="43" t="s">
        <v>104</v>
      </c>
      <c r="D132" s="44">
        <f>5.3*2.2</f>
        <v>11.66</v>
      </c>
      <c r="E132" s="42">
        <v>0</v>
      </c>
      <c r="F132" s="42">
        <v>0</v>
      </c>
      <c r="G132" s="42">
        <v>0</v>
      </c>
      <c r="H132" s="42">
        <f t="shared" ref="H132:H134" si="16">E132+F132+G132</f>
        <v>0</v>
      </c>
      <c r="I132" s="42">
        <f t="shared" ref="I132:I134" si="17">H132*D132</f>
        <v>0</v>
      </c>
      <c r="J132" s="41" t="s">
        <v>105</v>
      </c>
    </row>
    <row r="133" spans="1:10" s="31" customFormat="1" ht="123.75" hidden="1" outlineLevel="2">
      <c r="A133" s="43">
        <v>2</v>
      </c>
      <c r="B133" s="41" t="s">
        <v>106</v>
      </c>
      <c r="C133" s="43" t="s">
        <v>104</v>
      </c>
      <c r="D133" s="44">
        <f>5.3*2.2</f>
        <v>11.66</v>
      </c>
      <c r="E133" s="42">
        <v>0</v>
      </c>
      <c r="F133" s="42">
        <v>0</v>
      </c>
      <c r="G133" s="42">
        <v>0</v>
      </c>
      <c r="H133" s="42">
        <f t="shared" si="16"/>
        <v>0</v>
      </c>
      <c r="I133" s="42">
        <f t="shared" si="17"/>
        <v>0</v>
      </c>
      <c r="J133" s="41" t="s">
        <v>241</v>
      </c>
    </row>
    <row r="134" spans="1:10" s="31" customFormat="1" ht="56.25" hidden="1" outlineLevel="2">
      <c r="A134" s="40">
        <v>3</v>
      </c>
      <c r="B134" s="41" t="s">
        <v>120</v>
      </c>
      <c r="C134" s="40" t="s">
        <v>111</v>
      </c>
      <c r="D134" s="42">
        <v>1</v>
      </c>
      <c r="E134" s="42">
        <v>0</v>
      </c>
      <c r="F134" s="42">
        <v>0</v>
      </c>
      <c r="G134" s="42">
        <v>0</v>
      </c>
      <c r="H134" s="42">
        <f t="shared" si="16"/>
        <v>0</v>
      </c>
      <c r="I134" s="42">
        <f t="shared" si="17"/>
        <v>0</v>
      </c>
      <c r="J134" s="41" t="s">
        <v>243</v>
      </c>
    </row>
    <row r="135" spans="1:10" s="31" customFormat="1" ht="56.25" hidden="1" outlineLevel="2">
      <c r="A135" s="40">
        <v>4</v>
      </c>
      <c r="B135" s="41" t="s">
        <v>298</v>
      </c>
      <c r="C135" s="40" t="s">
        <v>95</v>
      </c>
      <c r="D135" s="42">
        <v>2.2000000000000002</v>
      </c>
      <c r="E135" s="42">
        <v>0</v>
      </c>
      <c r="F135" s="42">
        <v>0</v>
      </c>
      <c r="G135" s="42">
        <v>0</v>
      </c>
      <c r="H135" s="42">
        <f>E135+F135+G135</f>
        <v>0</v>
      </c>
      <c r="I135" s="42">
        <f>H135*D135</f>
        <v>0</v>
      </c>
      <c r="J135" s="41" t="s">
        <v>299</v>
      </c>
    </row>
    <row r="136" spans="1:10" s="31" customFormat="1" hidden="1" outlineLevel="1" collapsed="1">
      <c r="A136" s="40"/>
      <c r="B136" s="41" t="s">
        <v>178</v>
      </c>
      <c r="C136" s="40"/>
      <c r="D136" s="42"/>
      <c r="E136" s="42"/>
      <c r="F136" s="42"/>
      <c r="G136" s="42"/>
      <c r="H136" s="42"/>
      <c r="I136" s="42"/>
      <c r="J136" s="41"/>
    </row>
    <row r="137" spans="1:10" s="31" customFormat="1" ht="45" hidden="1" outlineLevel="2">
      <c r="A137" s="40">
        <v>1</v>
      </c>
      <c r="B137" s="41" t="s">
        <v>179</v>
      </c>
      <c r="C137" s="43" t="s">
        <v>104</v>
      </c>
      <c r="D137" s="42">
        <v>3</v>
      </c>
      <c r="E137" s="42">
        <v>0</v>
      </c>
      <c r="F137" s="42">
        <v>0</v>
      </c>
      <c r="G137" s="42">
        <v>0</v>
      </c>
      <c r="H137" s="42">
        <f>E137+F137+G137</f>
        <v>0</v>
      </c>
      <c r="I137" s="42">
        <f>H137*D137</f>
        <v>0</v>
      </c>
      <c r="J137" s="41" t="s">
        <v>180</v>
      </c>
    </row>
    <row r="138" spans="1:10" s="31" customFormat="1" ht="56.25" hidden="1" outlineLevel="2">
      <c r="A138" s="40">
        <v>2</v>
      </c>
      <c r="B138" s="41" t="s">
        <v>181</v>
      </c>
      <c r="C138" s="40" t="s">
        <v>88</v>
      </c>
      <c r="D138" s="42">
        <v>2.3199999999999998</v>
      </c>
      <c r="E138" s="42">
        <v>0</v>
      </c>
      <c r="F138" s="42">
        <v>0</v>
      </c>
      <c r="G138" s="42">
        <v>0</v>
      </c>
      <c r="H138" s="42">
        <f>E138+F138+G138</f>
        <v>0</v>
      </c>
      <c r="I138" s="42">
        <f>H138*D138</f>
        <v>0</v>
      </c>
      <c r="J138" s="41" t="s">
        <v>182</v>
      </c>
    </row>
    <row r="139" spans="1:10" s="33" customFormat="1" ht="36.950000000000003" hidden="1" customHeight="1" outlineLevel="2">
      <c r="A139" s="43">
        <v>3</v>
      </c>
      <c r="B139" s="41" t="s">
        <v>183</v>
      </c>
      <c r="C139" s="43" t="s">
        <v>100</v>
      </c>
      <c r="D139" s="44">
        <v>1</v>
      </c>
      <c r="E139" s="42">
        <v>0</v>
      </c>
      <c r="F139" s="42">
        <v>0</v>
      </c>
      <c r="G139" s="42">
        <v>0</v>
      </c>
      <c r="H139" s="42">
        <f>G139+F139+E139</f>
        <v>0</v>
      </c>
      <c r="I139" s="42">
        <f>H139*D139</f>
        <v>0</v>
      </c>
      <c r="J139" s="41" t="s">
        <v>184</v>
      </c>
    </row>
    <row r="140" spans="1:10" s="31" customFormat="1" hidden="1" outlineLevel="1" collapsed="1">
      <c r="A140" s="40"/>
      <c r="B140" s="41" t="s">
        <v>185</v>
      </c>
      <c r="C140" s="40"/>
      <c r="D140" s="42"/>
      <c r="E140" s="42"/>
      <c r="F140" s="42"/>
      <c r="G140" s="42"/>
      <c r="H140" s="42"/>
      <c r="I140" s="42"/>
      <c r="J140" s="41"/>
    </row>
    <row r="141" spans="1:10" s="33" customFormat="1" ht="27.95" hidden="1" customHeight="1" outlineLevel="2">
      <c r="A141" s="43">
        <v>1</v>
      </c>
      <c r="B141" s="41" t="s">
        <v>292</v>
      </c>
      <c r="C141" s="43" t="s">
        <v>100</v>
      </c>
      <c r="D141" s="44">
        <v>1</v>
      </c>
      <c r="E141" s="42">
        <v>0</v>
      </c>
      <c r="F141" s="42">
        <v>0</v>
      </c>
      <c r="G141" s="42">
        <v>0</v>
      </c>
      <c r="H141" s="42">
        <f>G141+F141+E141</f>
        <v>0</v>
      </c>
      <c r="I141" s="42">
        <f>H141*D141</f>
        <v>0</v>
      </c>
      <c r="J141" s="41" t="s">
        <v>300</v>
      </c>
    </row>
    <row r="142" spans="1:10" s="33" customFormat="1" ht="21" hidden="1" customHeight="1" outlineLevel="2">
      <c r="A142" s="43"/>
      <c r="B142" s="41" t="s">
        <v>113</v>
      </c>
      <c r="C142" s="43"/>
      <c r="D142" s="44"/>
      <c r="E142" s="42"/>
      <c r="F142" s="42"/>
      <c r="G142" s="42"/>
      <c r="H142" s="42"/>
      <c r="I142" s="42">
        <f>SUM(I127:I141)</f>
        <v>0</v>
      </c>
      <c r="J142" s="41"/>
    </row>
    <row r="143" spans="1:10" s="30" customFormat="1">
      <c r="A143" s="37" t="s">
        <v>170</v>
      </c>
      <c r="B143" s="38" t="s">
        <v>301</v>
      </c>
      <c r="C143" s="37"/>
      <c r="D143" s="39"/>
      <c r="E143" s="39"/>
      <c r="F143" s="39"/>
      <c r="G143" s="39"/>
      <c r="H143" s="39"/>
      <c r="I143" s="39"/>
      <c r="J143" s="38"/>
    </row>
    <row r="144" spans="1:10" s="31" customFormat="1" outlineLevel="1" collapsed="1">
      <c r="A144" s="40"/>
      <c r="B144" s="41" t="s">
        <v>86</v>
      </c>
      <c r="C144" s="40"/>
      <c r="D144" s="42"/>
      <c r="E144" s="42"/>
      <c r="F144" s="42"/>
      <c r="G144" s="42"/>
      <c r="H144" s="42"/>
      <c r="I144" s="42"/>
      <c r="J144" s="41"/>
    </row>
    <row r="145" spans="1:10" s="31" customFormat="1" ht="67.5" hidden="1" outlineLevel="2">
      <c r="A145" s="40">
        <v>1</v>
      </c>
      <c r="B145" s="41" t="s">
        <v>87</v>
      </c>
      <c r="C145" s="40" t="s">
        <v>88</v>
      </c>
      <c r="D145" s="42">
        <v>66.180000000000007</v>
      </c>
      <c r="E145" s="42">
        <v>0</v>
      </c>
      <c r="F145" s="42">
        <v>0</v>
      </c>
      <c r="G145" s="42">
        <v>0</v>
      </c>
      <c r="H145" s="42">
        <f t="shared" ref="H145:H147" si="18">E145+F145+G145</f>
        <v>0</v>
      </c>
      <c r="I145" s="42">
        <f>H145*D145</f>
        <v>0</v>
      </c>
      <c r="J145" s="41" t="s">
        <v>89</v>
      </c>
    </row>
    <row r="146" spans="1:10" s="31" customFormat="1" ht="67.5" hidden="1" outlineLevel="2">
      <c r="A146" s="40">
        <v>2</v>
      </c>
      <c r="B146" s="41" t="s">
        <v>134</v>
      </c>
      <c r="C146" s="40" t="s">
        <v>88</v>
      </c>
      <c r="D146" s="42">
        <v>66.180000000000007</v>
      </c>
      <c r="E146" s="42">
        <v>0</v>
      </c>
      <c r="F146" s="42">
        <v>0</v>
      </c>
      <c r="G146" s="42">
        <v>0</v>
      </c>
      <c r="H146" s="42">
        <f t="shared" si="18"/>
        <v>0</v>
      </c>
      <c r="I146" s="42">
        <f>H146*D146</f>
        <v>0</v>
      </c>
      <c r="J146" s="41" t="s">
        <v>135</v>
      </c>
    </row>
    <row r="147" spans="1:10" s="31" customFormat="1" ht="56.25" hidden="1" outlineLevel="2">
      <c r="A147" s="40">
        <v>3</v>
      </c>
      <c r="B147" s="41" t="s">
        <v>94</v>
      </c>
      <c r="C147" s="40" t="s">
        <v>95</v>
      </c>
      <c r="D147" s="42">
        <v>54.31</v>
      </c>
      <c r="E147" s="42">
        <v>0</v>
      </c>
      <c r="F147" s="42">
        <v>0</v>
      </c>
      <c r="G147" s="42">
        <v>0</v>
      </c>
      <c r="H147" s="42">
        <f t="shared" si="18"/>
        <v>0</v>
      </c>
      <c r="I147" s="42">
        <f t="shared" ref="I147:I152" si="19">H147*D147</f>
        <v>0</v>
      </c>
      <c r="J147" s="41" t="s">
        <v>148</v>
      </c>
    </row>
    <row r="148" spans="1:10" s="32" customFormat="1" ht="56.25" hidden="1" outlineLevel="2">
      <c r="A148" s="40">
        <v>4</v>
      </c>
      <c r="B148" s="41" t="s">
        <v>99</v>
      </c>
      <c r="C148" s="40" t="s">
        <v>100</v>
      </c>
      <c r="D148" s="42">
        <v>6</v>
      </c>
      <c r="E148" s="42">
        <v>0</v>
      </c>
      <c r="F148" s="42">
        <v>0</v>
      </c>
      <c r="G148" s="42">
        <v>0</v>
      </c>
      <c r="H148" s="42">
        <f t="shared" ref="H148:H152" si="20">E148+F148+G148</f>
        <v>0</v>
      </c>
      <c r="I148" s="42">
        <f t="shared" si="19"/>
        <v>0</v>
      </c>
      <c r="J148" s="41" t="s">
        <v>101</v>
      </c>
    </row>
    <row r="149" spans="1:10" s="31" customFormat="1" outlineLevel="1" collapsed="1">
      <c r="A149" s="40"/>
      <c r="B149" s="41" t="s">
        <v>102</v>
      </c>
      <c r="C149" s="40"/>
      <c r="D149" s="42"/>
      <c r="E149" s="42"/>
      <c r="F149" s="42"/>
      <c r="G149" s="42"/>
      <c r="H149" s="42"/>
      <c r="I149" s="42"/>
      <c r="J149" s="41"/>
    </row>
    <row r="150" spans="1:10" s="33" customFormat="1" ht="67.5" hidden="1" outlineLevel="2">
      <c r="A150" s="43">
        <v>1</v>
      </c>
      <c r="B150" s="41" t="s">
        <v>103</v>
      </c>
      <c r="C150" s="43" t="s">
        <v>104</v>
      </c>
      <c r="D150" s="44">
        <f>(45.31-4.5)*2.4</f>
        <v>97.94</v>
      </c>
      <c r="E150" s="42">
        <v>0</v>
      </c>
      <c r="F150" s="42">
        <v>0</v>
      </c>
      <c r="G150" s="42">
        <v>0</v>
      </c>
      <c r="H150" s="42">
        <f t="shared" si="20"/>
        <v>0</v>
      </c>
      <c r="I150" s="42">
        <f t="shared" si="19"/>
        <v>0</v>
      </c>
      <c r="J150" s="41" t="s">
        <v>105</v>
      </c>
    </row>
    <row r="151" spans="1:10" s="31" customFormat="1" ht="123.75" hidden="1" outlineLevel="2">
      <c r="A151" s="43">
        <v>2</v>
      </c>
      <c r="B151" s="41" t="s">
        <v>106</v>
      </c>
      <c r="C151" s="43" t="s">
        <v>104</v>
      </c>
      <c r="D151" s="44">
        <f>(45.31-4.5)*2.4</f>
        <v>97.94</v>
      </c>
      <c r="E151" s="42">
        <v>0</v>
      </c>
      <c r="F151" s="42">
        <v>0</v>
      </c>
      <c r="G151" s="42">
        <v>0</v>
      </c>
      <c r="H151" s="42">
        <f t="shared" si="20"/>
        <v>0</v>
      </c>
      <c r="I151" s="42">
        <f t="shared" si="19"/>
        <v>0</v>
      </c>
      <c r="J151" s="41" t="s">
        <v>241</v>
      </c>
    </row>
    <row r="152" spans="1:10" s="31" customFormat="1" ht="56.25" hidden="1" outlineLevel="2">
      <c r="A152" s="43">
        <v>3</v>
      </c>
      <c r="B152" s="41" t="s">
        <v>227</v>
      </c>
      <c r="C152" s="40" t="s">
        <v>111</v>
      </c>
      <c r="D152" s="42">
        <v>1</v>
      </c>
      <c r="E152" s="42">
        <v>0</v>
      </c>
      <c r="F152" s="42">
        <v>0</v>
      </c>
      <c r="G152" s="42">
        <v>0</v>
      </c>
      <c r="H152" s="42">
        <f t="shared" si="20"/>
        <v>0</v>
      </c>
      <c r="I152" s="42">
        <f t="shared" si="19"/>
        <v>0</v>
      </c>
      <c r="J152" s="41" t="s">
        <v>243</v>
      </c>
    </row>
    <row r="153" spans="1:10" s="33" customFormat="1" ht="21" hidden="1" customHeight="1" outlineLevel="2">
      <c r="A153" s="43"/>
      <c r="B153" s="41" t="s">
        <v>113</v>
      </c>
      <c r="C153" s="43"/>
      <c r="D153" s="44"/>
      <c r="E153" s="42"/>
      <c r="F153" s="42"/>
      <c r="G153" s="42"/>
      <c r="H153" s="42"/>
      <c r="I153" s="42">
        <f>SUM(I138:I152)</f>
        <v>0</v>
      </c>
      <c r="J153" s="41"/>
    </row>
    <row r="154" spans="1:10" s="30" customFormat="1">
      <c r="A154" s="37" t="s">
        <v>188</v>
      </c>
      <c r="B154" s="38" t="s">
        <v>302</v>
      </c>
      <c r="C154" s="37"/>
      <c r="D154" s="39"/>
      <c r="E154" s="39"/>
      <c r="F154" s="39"/>
      <c r="G154" s="39"/>
      <c r="H154" s="39"/>
      <c r="I154" s="39"/>
      <c r="J154" s="38"/>
    </row>
    <row r="155" spans="1:10" s="31" customFormat="1" outlineLevel="1" collapsed="1">
      <c r="A155" s="40"/>
      <c r="B155" s="41" t="s">
        <v>86</v>
      </c>
      <c r="C155" s="40"/>
      <c r="D155" s="42"/>
      <c r="E155" s="42"/>
      <c r="F155" s="42"/>
      <c r="G155" s="42"/>
      <c r="H155" s="42"/>
      <c r="I155" s="42"/>
      <c r="J155" s="41"/>
    </row>
    <row r="156" spans="1:10" s="31" customFormat="1" ht="67.5" hidden="1" outlineLevel="2">
      <c r="A156" s="40">
        <v>1</v>
      </c>
      <c r="B156" s="41" t="s">
        <v>87</v>
      </c>
      <c r="C156" s="40" t="s">
        <v>88</v>
      </c>
      <c r="D156" s="42">
        <v>20.22</v>
      </c>
      <c r="E156" s="42">
        <v>0</v>
      </c>
      <c r="F156" s="42">
        <v>0</v>
      </c>
      <c r="G156" s="42">
        <v>0</v>
      </c>
      <c r="H156" s="42">
        <f t="shared" ref="H156:H159" si="21">E156+F156+G156</f>
        <v>0</v>
      </c>
      <c r="I156" s="42">
        <f t="shared" ref="I156:I159" si="22">H156*D156</f>
        <v>0</v>
      </c>
      <c r="J156" s="41" t="s">
        <v>89</v>
      </c>
    </row>
    <row r="157" spans="1:10" s="31" customFormat="1" ht="67.5" hidden="1" outlineLevel="2">
      <c r="A157" s="40">
        <v>2</v>
      </c>
      <c r="B157" s="41" t="s">
        <v>134</v>
      </c>
      <c r="C157" s="40" t="s">
        <v>88</v>
      </c>
      <c r="D157" s="42">
        <v>20.22</v>
      </c>
      <c r="E157" s="42">
        <v>0</v>
      </c>
      <c r="F157" s="42">
        <v>0</v>
      </c>
      <c r="G157" s="42">
        <v>0</v>
      </c>
      <c r="H157" s="42">
        <f t="shared" si="21"/>
        <v>0</v>
      </c>
      <c r="I157" s="42">
        <f t="shared" si="22"/>
        <v>0</v>
      </c>
      <c r="J157" s="41" t="s">
        <v>135</v>
      </c>
    </row>
    <row r="158" spans="1:10" s="31" customFormat="1" ht="56.25" hidden="1" outlineLevel="2">
      <c r="A158" s="40">
        <v>3</v>
      </c>
      <c r="B158" s="41" t="s">
        <v>94</v>
      </c>
      <c r="C158" s="40" t="s">
        <v>95</v>
      </c>
      <c r="D158" s="42">
        <v>18.670000000000002</v>
      </c>
      <c r="E158" s="42">
        <v>0</v>
      </c>
      <c r="F158" s="42">
        <v>0</v>
      </c>
      <c r="G158" s="42">
        <v>0</v>
      </c>
      <c r="H158" s="42">
        <f t="shared" si="21"/>
        <v>0</v>
      </c>
      <c r="I158" s="42">
        <f t="shared" si="22"/>
        <v>0</v>
      </c>
      <c r="J158" s="41" t="s">
        <v>148</v>
      </c>
    </row>
    <row r="159" spans="1:10" s="32" customFormat="1" ht="56.25" hidden="1" outlineLevel="2">
      <c r="A159" s="40">
        <v>4</v>
      </c>
      <c r="B159" s="41" t="s">
        <v>99</v>
      </c>
      <c r="C159" s="40" t="s">
        <v>100</v>
      </c>
      <c r="D159" s="42">
        <v>2</v>
      </c>
      <c r="E159" s="42">
        <v>0</v>
      </c>
      <c r="F159" s="42">
        <v>0</v>
      </c>
      <c r="G159" s="42">
        <v>0</v>
      </c>
      <c r="H159" s="42">
        <f t="shared" si="21"/>
        <v>0</v>
      </c>
      <c r="I159" s="42">
        <f t="shared" si="22"/>
        <v>0</v>
      </c>
      <c r="J159" s="41" t="s">
        <v>101</v>
      </c>
    </row>
    <row r="160" spans="1:10" s="31" customFormat="1" outlineLevel="1" collapsed="1">
      <c r="A160" s="40"/>
      <c r="B160" s="41" t="s">
        <v>102</v>
      </c>
      <c r="C160" s="40"/>
      <c r="D160" s="42"/>
      <c r="E160" s="42"/>
      <c r="F160" s="42"/>
      <c r="G160" s="42"/>
      <c r="H160" s="42"/>
      <c r="I160" s="42"/>
      <c r="J160" s="41"/>
    </row>
    <row r="161" spans="1:10" s="33" customFormat="1" ht="67.5" hidden="1" outlineLevel="2">
      <c r="A161" s="43">
        <v>1</v>
      </c>
      <c r="B161" s="41" t="s">
        <v>103</v>
      </c>
      <c r="C161" s="43" t="s">
        <v>104</v>
      </c>
      <c r="D161" s="44">
        <f>(18.67-0.9)*2.4</f>
        <v>42.65</v>
      </c>
      <c r="E161" s="42">
        <v>0</v>
      </c>
      <c r="F161" s="42">
        <v>0</v>
      </c>
      <c r="G161" s="42">
        <v>0</v>
      </c>
      <c r="H161" s="42">
        <f>E161+F161+G161</f>
        <v>0</v>
      </c>
      <c r="I161" s="42">
        <f>H161*D161</f>
        <v>0</v>
      </c>
      <c r="J161" s="41" t="s">
        <v>105</v>
      </c>
    </row>
    <row r="162" spans="1:10" s="31" customFormat="1" ht="123.75" hidden="1" outlineLevel="2">
      <c r="A162" s="43">
        <v>2</v>
      </c>
      <c r="B162" s="41" t="s">
        <v>106</v>
      </c>
      <c r="C162" s="43" t="s">
        <v>104</v>
      </c>
      <c r="D162" s="44">
        <f>(18.67-0.9)*2.4</f>
        <v>42.65</v>
      </c>
      <c r="E162" s="42">
        <v>0</v>
      </c>
      <c r="F162" s="42">
        <v>0</v>
      </c>
      <c r="G162" s="42">
        <v>0</v>
      </c>
      <c r="H162" s="42">
        <f>E162+F162+G162</f>
        <v>0</v>
      </c>
      <c r="I162" s="42">
        <f>H162*D162</f>
        <v>0</v>
      </c>
      <c r="J162" s="41" t="s">
        <v>241</v>
      </c>
    </row>
    <row r="163" spans="1:10" s="31" customFormat="1" ht="56.25" hidden="1" outlineLevel="2">
      <c r="A163" s="43">
        <v>3</v>
      </c>
      <c r="B163" s="41" t="s">
        <v>227</v>
      </c>
      <c r="C163" s="40" t="s">
        <v>111</v>
      </c>
      <c r="D163" s="42">
        <v>1</v>
      </c>
      <c r="E163" s="42">
        <v>0</v>
      </c>
      <c r="F163" s="42">
        <v>0</v>
      </c>
      <c r="G163" s="42">
        <v>0</v>
      </c>
      <c r="H163" s="42">
        <f>E163+F163+G163</f>
        <v>0</v>
      </c>
      <c r="I163" s="42">
        <f>H163*D163</f>
        <v>0</v>
      </c>
      <c r="J163" s="41" t="s">
        <v>243</v>
      </c>
    </row>
    <row r="164" spans="1:10" s="31" customFormat="1" hidden="1" outlineLevel="2">
      <c r="A164" s="40"/>
      <c r="B164" s="41" t="s">
        <v>113</v>
      </c>
      <c r="C164" s="40"/>
      <c r="D164" s="42"/>
      <c r="E164" s="42"/>
      <c r="F164" s="42"/>
      <c r="G164" s="42"/>
      <c r="H164" s="42"/>
      <c r="I164" s="42">
        <f>SUM(I156:I163)</f>
        <v>0</v>
      </c>
      <c r="J164" s="41"/>
    </row>
    <row r="165" spans="1:10" s="30" customFormat="1">
      <c r="A165" s="37" t="s">
        <v>203</v>
      </c>
      <c r="B165" s="38" t="s">
        <v>303</v>
      </c>
      <c r="C165" s="37"/>
      <c r="D165" s="39"/>
      <c r="E165" s="39"/>
      <c r="F165" s="39"/>
      <c r="G165" s="39"/>
      <c r="H165" s="39"/>
      <c r="I165" s="39"/>
      <c r="J165" s="38"/>
    </row>
    <row r="166" spans="1:10" s="31" customFormat="1" outlineLevel="1" collapsed="1">
      <c r="A166" s="40"/>
      <c r="B166" s="41" t="s">
        <v>86</v>
      </c>
      <c r="C166" s="40"/>
      <c r="D166" s="42"/>
      <c r="E166" s="42"/>
      <c r="F166" s="42"/>
      <c r="G166" s="42"/>
      <c r="H166" s="42"/>
      <c r="I166" s="42"/>
      <c r="J166" s="41"/>
    </row>
    <row r="167" spans="1:10" s="31" customFormat="1" ht="67.5" hidden="1" outlineLevel="2">
      <c r="A167" s="40">
        <v>1</v>
      </c>
      <c r="B167" s="41" t="s">
        <v>87</v>
      </c>
      <c r="C167" s="40" t="s">
        <v>88</v>
      </c>
      <c r="D167" s="42">
        <v>27.4</v>
      </c>
      <c r="E167" s="42">
        <v>0</v>
      </c>
      <c r="F167" s="42">
        <v>0</v>
      </c>
      <c r="G167" s="42">
        <v>0</v>
      </c>
      <c r="H167" s="42">
        <f>E167+F167+G167</f>
        <v>0</v>
      </c>
      <c r="I167" s="42">
        <f>H167*D167</f>
        <v>0</v>
      </c>
      <c r="J167" s="41" t="s">
        <v>89</v>
      </c>
    </row>
    <row r="168" spans="1:10" s="31" customFormat="1" ht="67.5" hidden="1" outlineLevel="2">
      <c r="A168" s="40">
        <v>2</v>
      </c>
      <c r="B168" s="41" t="s">
        <v>134</v>
      </c>
      <c r="C168" s="40" t="s">
        <v>88</v>
      </c>
      <c r="D168" s="42">
        <v>27.4</v>
      </c>
      <c r="E168" s="42">
        <v>0</v>
      </c>
      <c r="F168" s="42">
        <v>0</v>
      </c>
      <c r="G168" s="42">
        <v>0</v>
      </c>
      <c r="H168" s="42">
        <f>E168+F168+G168</f>
        <v>0</v>
      </c>
      <c r="I168" s="42">
        <f>H168*D168</f>
        <v>0</v>
      </c>
      <c r="J168" s="41" t="s">
        <v>135</v>
      </c>
    </row>
    <row r="169" spans="1:10" s="31" customFormat="1" ht="56.25" hidden="1" outlineLevel="2">
      <c r="A169" s="40">
        <v>3</v>
      </c>
      <c r="B169" s="41" t="s">
        <v>94</v>
      </c>
      <c r="C169" s="40" t="s">
        <v>95</v>
      </c>
      <c r="D169" s="42">
        <v>25.47</v>
      </c>
      <c r="E169" s="42">
        <v>0</v>
      </c>
      <c r="F169" s="42">
        <v>0</v>
      </c>
      <c r="G169" s="42">
        <v>0</v>
      </c>
      <c r="H169" s="42">
        <f>E169+F169+G169</f>
        <v>0</v>
      </c>
      <c r="I169" s="42">
        <f>H169*D169</f>
        <v>0</v>
      </c>
      <c r="J169" s="41" t="s">
        <v>148</v>
      </c>
    </row>
    <row r="170" spans="1:10" s="32" customFormat="1" ht="56.25" hidden="1" outlineLevel="2">
      <c r="A170" s="40">
        <v>4</v>
      </c>
      <c r="B170" s="41" t="s">
        <v>99</v>
      </c>
      <c r="C170" s="40" t="s">
        <v>100</v>
      </c>
      <c r="D170" s="42">
        <v>2</v>
      </c>
      <c r="E170" s="42">
        <v>0</v>
      </c>
      <c r="F170" s="42">
        <v>0</v>
      </c>
      <c r="G170" s="42">
        <v>0</v>
      </c>
      <c r="H170" s="42">
        <f>E170+F170+G170</f>
        <v>0</v>
      </c>
      <c r="I170" s="42">
        <f>H170*D170</f>
        <v>0</v>
      </c>
      <c r="J170" s="41" t="s">
        <v>101</v>
      </c>
    </row>
    <row r="171" spans="1:10" s="31" customFormat="1" outlineLevel="1" collapsed="1">
      <c r="A171" s="40"/>
      <c r="B171" s="41" t="s">
        <v>102</v>
      </c>
      <c r="C171" s="40"/>
      <c r="D171" s="42"/>
      <c r="E171" s="42"/>
      <c r="F171" s="42"/>
      <c r="G171" s="42"/>
      <c r="H171" s="42"/>
      <c r="I171" s="42"/>
      <c r="J171" s="41"/>
    </row>
    <row r="172" spans="1:10" s="33" customFormat="1" ht="67.5" hidden="1" outlineLevel="2">
      <c r="A172" s="43">
        <v>1</v>
      </c>
      <c r="B172" s="41" t="s">
        <v>103</v>
      </c>
      <c r="C172" s="43" t="s">
        <v>104</v>
      </c>
      <c r="D172" s="44">
        <f>23.67*2.4</f>
        <v>56.81</v>
      </c>
      <c r="E172" s="42">
        <v>0</v>
      </c>
      <c r="F172" s="42">
        <v>0</v>
      </c>
      <c r="G172" s="42">
        <v>0</v>
      </c>
      <c r="H172" s="42">
        <f>E172+F172+G172</f>
        <v>0</v>
      </c>
      <c r="I172" s="42">
        <f>H172*D172</f>
        <v>0</v>
      </c>
      <c r="J172" s="41" t="s">
        <v>105</v>
      </c>
    </row>
    <row r="173" spans="1:10" s="31" customFormat="1" ht="123.75" hidden="1" outlineLevel="2">
      <c r="A173" s="43">
        <v>2</v>
      </c>
      <c r="B173" s="41" t="s">
        <v>106</v>
      </c>
      <c r="C173" s="43" t="s">
        <v>104</v>
      </c>
      <c r="D173" s="44">
        <f>23.67*2.4</f>
        <v>56.81</v>
      </c>
      <c r="E173" s="42">
        <v>0</v>
      </c>
      <c r="F173" s="42">
        <v>0</v>
      </c>
      <c r="G173" s="42">
        <v>0</v>
      </c>
      <c r="H173" s="42">
        <f>E173+F173+G173</f>
        <v>0</v>
      </c>
      <c r="I173" s="42">
        <f>H173*D173</f>
        <v>0</v>
      </c>
      <c r="J173" s="41" t="s">
        <v>241</v>
      </c>
    </row>
    <row r="174" spans="1:10" s="31" customFormat="1" ht="56.25" hidden="1" outlineLevel="2">
      <c r="A174" s="40">
        <v>3</v>
      </c>
      <c r="B174" s="41" t="s">
        <v>120</v>
      </c>
      <c r="C174" s="40" t="s">
        <v>111</v>
      </c>
      <c r="D174" s="42">
        <v>2</v>
      </c>
      <c r="E174" s="42">
        <v>0</v>
      </c>
      <c r="F174" s="42">
        <v>0</v>
      </c>
      <c r="G174" s="42">
        <v>0</v>
      </c>
      <c r="H174" s="42">
        <f>E174+F174+G174</f>
        <v>0</v>
      </c>
      <c r="I174" s="42">
        <f>H174*D174</f>
        <v>0</v>
      </c>
      <c r="J174" s="41" t="s">
        <v>243</v>
      </c>
    </row>
    <row r="175" spans="1:10" s="31" customFormat="1" hidden="1" outlineLevel="2">
      <c r="A175" s="40"/>
      <c r="B175" s="41" t="s">
        <v>113</v>
      </c>
      <c r="C175" s="40"/>
      <c r="D175" s="42"/>
      <c r="E175" s="42"/>
      <c r="F175" s="42"/>
      <c r="G175" s="42"/>
      <c r="H175" s="42"/>
      <c r="I175" s="42">
        <f>SUM(I167:I174)</f>
        <v>0</v>
      </c>
      <c r="J175" s="41"/>
    </row>
    <row r="176" spans="1:10" s="30" customFormat="1">
      <c r="A176" s="37" t="s">
        <v>206</v>
      </c>
      <c r="B176" s="38" t="s">
        <v>304</v>
      </c>
      <c r="C176" s="37"/>
      <c r="D176" s="39"/>
      <c r="E176" s="39"/>
      <c r="F176" s="39"/>
      <c r="G176" s="39"/>
      <c r="H176" s="39"/>
      <c r="I176" s="39"/>
      <c r="J176" s="38"/>
    </row>
    <row r="177" spans="1:10" s="31" customFormat="1" outlineLevel="1" collapsed="1">
      <c r="A177" s="40"/>
      <c r="B177" s="41" t="s">
        <v>86</v>
      </c>
      <c r="C177" s="40"/>
      <c r="D177" s="42"/>
      <c r="E177" s="42"/>
      <c r="F177" s="42"/>
      <c r="G177" s="42"/>
      <c r="H177" s="42"/>
      <c r="I177" s="42"/>
      <c r="J177" s="41"/>
    </row>
    <row r="178" spans="1:10" s="31" customFormat="1" ht="67.5" hidden="1" outlineLevel="2">
      <c r="A178" s="40">
        <v>1</v>
      </c>
      <c r="B178" s="41" t="s">
        <v>87</v>
      </c>
      <c r="C178" s="40" t="s">
        <v>88</v>
      </c>
      <c r="D178" s="42">
        <v>25.67</v>
      </c>
      <c r="E178" s="42">
        <v>0</v>
      </c>
      <c r="F178" s="42">
        <v>0</v>
      </c>
      <c r="G178" s="42">
        <v>0</v>
      </c>
      <c r="H178" s="42">
        <f>E178+F178+G178</f>
        <v>0</v>
      </c>
      <c r="I178" s="42">
        <f>H178*D178</f>
        <v>0</v>
      </c>
      <c r="J178" s="41" t="s">
        <v>89</v>
      </c>
    </row>
    <row r="179" spans="1:10" s="31" customFormat="1" ht="67.5" hidden="1" outlineLevel="2">
      <c r="A179" s="40">
        <v>2</v>
      </c>
      <c r="B179" s="41" t="s">
        <v>134</v>
      </c>
      <c r="C179" s="40" t="s">
        <v>88</v>
      </c>
      <c r="D179" s="42">
        <v>25.67</v>
      </c>
      <c r="E179" s="42">
        <v>0</v>
      </c>
      <c r="F179" s="42">
        <v>0</v>
      </c>
      <c r="G179" s="42">
        <v>0</v>
      </c>
      <c r="H179" s="42">
        <f>E179+F179+G179</f>
        <v>0</v>
      </c>
      <c r="I179" s="42">
        <f>H179*D179</f>
        <v>0</v>
      </c>
      <c r="J179" s="41" t="s">
        <v>135</v>
      </c>
    </row>
    <row r="180" spans="1:10" s="31" customFormat="1" ht="56.25" hidden="1" outlineLevel="2">
      <c r="A180" s="40">
        <v>3</v>
      </c>
      <c r="B180" s="41" t="s">
        <v>94</v>
      </c>
      <c r="C180" s="40" t="s">
        <v>95</v>
      </c>
      <c r="D180" s="42">
        <v>20.5</v>
      </c>
      <c r="E180" s="42">
        <v>0</v>
      </c>
      <c r="F180" s="42">
        <v>0</v>
      </c>
      <c r="G180" s="42">
        <v>0</v>
      </c>
      <c r="H180" s="42">
        <f>E180+F180+G180</f>
        <v>0</v>
      </c>
      <c r="I180" s="42">
        <f>H180*D180</f>
        <v>0</v>
      </c>
      <c r="J180" s="41" t="s">
        <v>148</v>
      </c>
    </row>
    <row r="181" spans="1:10" s="32" customFormat="1" ht="56.25" hidden="1" outlineLevel="2">
      <c r="A181" s="40">
        <v>4</v>
      </c>
      <c r="B181" s="41" t="s">
        <v>99</v>
      </c>
      <c r="C181" s="40" t="s">
        <v>100</v>
      </c>
      <c r="D181" s="42">
        <v>2</v>
      </c>
      <c r="E181" s="42">
        <v>0</v>
      </c>
      <c r="F181" s="42">
        <v>0</v>
      </c>
      <c r="G181" s="42">
        <v>0</v>
      </c>
      <c r="H181" s="42">
        <f>E181+F181+G181</f>
        <v>0</v>
      </c>
      <c r="I181" s="42">
        <f>H181*D181</f>
        <v>0</v>
      </c>
      <c r="J181" s="41" t="s">
        <v>101</v>
      </c>
    </row>
    <row r="182" spans="1:10" s="31" customFormat="1" outlineLevel="1" collapsed="1">
      <c r="A182" s="40"/>
      <c r="B182" s="41" t="s">
        <v>102</v>
      </c>
      <c r="C182" s="40"/>
      <c r="D182" s="42"/>
      <c r="E182" s="42"/>
      <c r="F182" s="42"/>
      <c r="G182" s="42"/>
      <c r="H182" s="42"/>
      <c r="I182" s="42"/>
      <c r="J182" s="41"/>
    </row>
    <row r="183" spans="1:10" s="33" customFormat="1" ht="67.5" hidden="1" outlineLevel="2">
      <c r="A183" s="43">
        <v>1</v>
      </c>
      <c r="B183" s="41" t="s">
        <v>103</v>
      </c>
      <c r="C183" s="43" t="s">
        <v>104</v>
      </c>
      <c r="D183" s="44"/>
      <c r="E183" s="42">
        <v>0</v>
      </c>
      <c r="F183" s="42">
        <v>0</v>
      </c>
      <c r="G183" s="42">
        <v>0</v>
      </c>
      <c r="H183" s="42">
        <f>E183+F183+G183</f>
        <v>0</v>
      </c>
      <c r="I183" s="42">
        <f>H183*D183</f>
        <v>0</v>
      </c>
      <c r="J183" s="41" t="s">
        <v>105</v>
      </c>
    </row>
    <row r="184" spans="1:10" s="31" customFormat="1" ht="123.75" hidden="1" outlineLevel="2">
      <c r="A184" s="43">
        <v>2</v>
      </c>
      <c r="B184" s="41" t="s">
        <v>106</v>
      </c>
      <c r="C184" s="43" t="s">
        <v>104</v>
      </c>
      <c r="D184" s="44">
        <f>18.7*2.4</f>
        <v>44.88</v>
      </c>
      <c r="E184" s="42">
        <v>0</v>
      </c>
      <c r="F184" s="42">
        <v>0</v>
      </c>
      <c r="G184" s="42">
        <v>0</v>
      </c>
      <c r="H184" s="42">
        <f>E184+F184+G184</f>
        <v>0</v>
      </c>
      <c r="I184" s="42">
        <f>H184*D184</f>
        <v>0</v>
      </c>
      <c r="J184" s="41" t="s">
        <v>241</v>
      </c>
    </row>
    <row r="185" spans="1:10" s="31" customFormat="1" ht="56.25" hidden="1" outlineLevel="2">
      <c r="A185" s="40">
        <v>3</v>
      </c>
      <c r="B185" s="41" t="s">
        <v>120</v>
      </c>
      <c r="C185" s="40" t="s">
        <v>111</v>
      </c>
      <c r="D185" s="42">
        <v>2</v>
      </c>
      <c r="E185" s="42">
        <v>0</v>
      </c>
      <c r="F185" s="42">
        <v>0</v>
      </c>
      <c r="G185" s="42">
        <v>0</v>
      </c>
      <c r="H185" s="42">
        <f>E185+F185+G185</f>
        <v>0</v>
      </c>
      <c r="I185" s="42">
        <f>H185*D185</f>
        <v>0</v>
      </c>
      <c r="J185" s="41" t="s">
        <v>243</v>
      </c>
    </row>
    <row r="186" spans="1:10" s="31" customFormat="1" hidden="1" outlineLevel="2">
      <c r="A186" s="40"/>
      <c r="B186" s="41" t="s">
        <v>113</v>
      </c>
      <c r="C186" s="40"/>
      <c r="D186" s="42"/>
      <c r="E186" s="42"/>
      <c r="F186" s="42"/>
      <c r="G186" s="42"/>
      <c r="H186" s="42"/>
      <c r="I186" s="42">
        <f>SUM(I178:I185)</f>
        <v>0</v>
      </c>
      <c r="J186" s="41"/>
    </row>
  </sheetData>
  <sheetProtection formatCells="0" formatColumns="0" formatRows="0" insertColumns="0" insertRows="0" insertHyperlinks="0" deleteColumns="0" deleteRows="0" sort="0" autoFilter="0" pivotTables="0"/>
  <autoFilter ref="A4:J186" xr:uid="{00000000-0009-0000-0000-000004000000}"/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23" type="noConversion"/>
  <printOptions horizontalCentered="1"/>
  <pageMargins left="0.39305555555555599" right="0.39305555555555599" top="0.39305555555555599" bottom="0.59027777777777801" header="0.39305555555555599" footer="0.39305555555555599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L15"/>
  <sheetViews>
    <sheetView topLeftCell="A11" workbookViewId="0">
      <selection activeCell="A5" sqref="A5:XFD15"/>
    </sheetView>
  </sheetViews>
  <sheetFormatPr defaultColWidth="9.125" defaultRowHeight="15.75" outlineLevelRow="1"/>
  <cols>
    <col min="2" max="2" width="19.75" customWidth="1"/>
    <col min="11" max="11" width="27.125" customWidth="1"/>
    <col min="12" max="12" width="11.625" customWidth="1"/>
  </cols>
  <sheetData>
    <row r="1" spans="1:220" s="1" customFormat="1" ht="22.5">
      <c r="A1" s="106" t="s">
        <v>74</v>
      </c>
      <c r="B1" s="106"/>
      <c r="C1" s="107"/>
      <c r="D1" s="108"/>
      <c r="E1" s="108"/>
      <c r="F1" s="108"/>
      <c r="G1" s="109"/>
      <c r="H1" s="108"/>
      <c r="I1" s="108"/>
      <c r="J1" s="108"/>
      <c r="K1" s="107"/>
      <c r="L1" s="107"/>
      <c r="M1" s="107"/>
    </row>
    <row r="2" spans="1:220" s="2" customFormat="1" ht="13.5">
      <c r="A2" s="110" t="s">
        <v>305</v>
      </c>
      <c r="B2" s="111"/>
      <c r="C2" s="112"/>
      <c r="D2" s="113"/>
      <c r="E2" s="113"/>
      <c r="F2" s="113"/>
      <c r="G2" s="114"/>
      <c r="H2" s="113"/>
      <c r="I2" s="113"/>
      <c r="J2" s="113"/>
      <c r="K2" s="115"/>
      <c r="L2" s="115"/>
      <c r="M2" s="11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27"/>
      <c r="HL2" s="27"/>
    </row>
    <row r="3" spans="1:220" s="3" customFormat="1" ht="12">
      <c r="A3" s="111" t="s">
        <v>7</v>
      </c>
      <c r="B3" s="111" t="s">
        <v>76</v>
      </c>
      <c r="C3" s="112" t="s">
        <v>77</v>
      </c>
      <c r="D3" s="113" t="s">
        <v>78</v>
      </c>
      <c r="E3" s="113" t="s">
        <v>79</v>
      </c>
      <c r="F3" s="113" t="s">
        <v>306</v>
      </c>
      <c r="G3" s="114"/>
      <c r="H3" s="113" t="s">
        <v>81</v>
      </c>
      <c r="I3" s="117" t="s">
        <v>82</v>
      </c>
      <c r="J3" s="113" t="s">
        <v>83</v>
      </c>
      <c r="K3" s="118" t="s">
        <v>84</v>
      </c>
      <c r="L3" s="119" t="s">
        <v>307</v>
      </c>
      <c r="M3" s="120" t="s">
        <v>12</v>
      </c>
    </row>
    <row r="4" spans="1:220" s="3" customFormat="1" ht="12">
      <c r="A4" s="111"/>
      <c r="B4" s="111"/>
      <c r="C4" s="111"/>
      <c r="D4" s="116"/>
      <c r="E4" s="116"/>
      <c r="F4" s="7" t="s">
        <v>80</v>
      </c>
      <c r="G4" s="8" t="s">
        <v>308</v>
      </c>
      <c r="H4" s="116"/>
      <c r="I4" s="117"/>
      <c r="J4" s="113"/>
      <c r="K4" s="118"/>
      <c r="L4" s="119"/>
      <c r="M4" s="120"/>
    </row>
    <row r="5" spans="1:220" s="4" customFormat="1" ht="37.9" customHeight="1">
      <c r="A5" s="9">
        <v>5</v>
      </c>
      <c r="B5" s="9" t="s">
        <v>309</v>
      </c>
      <c r="C5" s="10"/>
      <c r="D5" s="11"/>
      <c r="E5" s="12"/>
      <c r="F5" s="12"/>
      <c r="G5" s="12"/>
      <c r="H5" s="12"/>
      <c r="I5" s="12"/>
      <c r="J5" s="12"/>
      <c r="K5" s="21"/>
      <c r="L5" s="21"/>
      <c r="M5" s="12" t="s">
        <v>310</v>
      </c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20" s="5" customFormat="1" ht="14.25" outlineLevel="1">
      <c r="A6" s="13"/>
      <c r="B6" s="14" t="s">
        <v>311</v>
      </c>
      <c r="C6" s="15"/>
      <c r="D6" s="16"/>
      <c r="E6" s="16"/>
      <c r="F6" s="16"/>
      <c r="G6" s="17"/>
      <c r="H6" s="16"/>
      <c r="I6" s="18"/>
      <c r="J6" s="18"/>
      <c r="K6" s="23"/>
      <c r="L6" s="23"/>
      <c r="M6" s="24"/>
    </row>
    <row r="7" spans="1:220" s="5" customFormat="1" ht="14.25" outlineLevel="1">
      <c r="A7" s="13"/>
      <c r="B7" s="14" t="s">
        <v>312</v>
      </c>
      <c r="C7" s="15" t="s">
        <v>88</v>
      </c>
      <c r="D7" s="16">
        <v>18</v>
      </c>
      <c r="E7" s="16"/>
      <c r="F7" s="16"/>
      <c r="G7" s="17"/>
      <c r="H7" s="16"/>
      <c r="I7" s="18">
        <f t="shared" ref="I7:I12" si="0">E7+F7*(1+G7)+H7</f>
        <v>0</v>
      </c>
      <c r="J7" s="18">
        <f t="shared" ref="J7:J12" si="1">I7*D7</f>
        <v>0</v>
      </c>
      <c r="K7" s="23" t="s">
        <v>313</v>
      </c>
      <c r="L7" s="23"/>
      <c r="M7" s="24"/>
    </row>
    <row r="8" spans="1:220" s="5" customFormat="1" ht="14.25" outlineLevel="1">
      <c r="A8" s="13"/>
      <c r="B8" s="14" t="s">
        <v>314</v>
      </c>
      <c r="C8" s="15" t="s">
        <v>88</v>
      </c>
      <c r="D8" s="16">
        <v>18</v>
      </c>
      <c r="E8" s="18"/>
      <c r="F8" s="18"/>
      <c r="G8" s="19"/>
      <c r="H8" s="18"/>
      <c r="I8" s="18">
        <f t="shared" si="0"/>
        <v>0</v>
      </c>
      <c r="J8" s="18">
        <f t="shared" si="1"/>
        <v>0</v>
      </c>
      <c r="K8" s="23" t="s">
        <v>313</v>
      </c>
      <c r="L8" s="23"/>
      <c r="M8" s="24"/>
    </row>
    <row r="9" spans="1:220" s="5" customFormat="1" ht="14.25" outlineLevel="1">
      <c r="A9" s="13"/>
      <c r="B9" s="14" t="s">
        <v>86</v>
      </c>
      <c r="C9" s="15"/>
      <c r="D9" s="16"/>
      <c r="E9" s="16"/>
      <c r="F9" s="16"/>
      <c r="G9" s="17"/>
      <c r="H9" s="16"/>
      <c r="I9" s="18"/>
      <c r="J9" s="18"/>
      <c r="K9" s="23"/>
      <c r="L9" s="23"/>
      <c r="M9" s="24"/>
    </row>
    <row r="10" spans="1:220" s="6" customFormat="1" ht="121.9" customHeight="1" outlineLevel="1">
      <c r="A10" s="13"/>
      <c r="B10" s="14" t="s">
        <v>87</v>
      </c>
      <c r="C10" s="20" t="s">
        <v>88</v>
      </c>
      <c r="D10" s="16">
        <v>18</v>
      </c>
      <c r="E10" s="18"/>
      <c r="F10" s="18"/>
      <c r="G10" s="19"/>
      <c r="H10" s="18"/>
      <c r="I10" s="18">
        <f t="shared" si="0"/>
        <v>0</v>
      </c>
      <c r="J10" s="18">
        <f t="shared" si="1"/>
        <v>0</v>
      </c>
      <c r="K10" s="23" t="s">
        <v>89</v>
      </c>
      <c r="L10" s="23" t="s">
        <v>315</v>
      </c>
      <c r="M10" s="25"/>
    </row>
    <row r="11" spans="1:220" s="6" customFormat="1" ht="136.9" customHeight="1" outlineLevel="1">
      <c r="A11" s="13"/>
      <c r="B11" s="14" t="s">
        <v>134</v>
      </c>
      <c r="C11" s="20" t="s">
        <v>88</v>
      </c>
      <c r="D11" s="16">
        <f>D10</f>
        <v>18</v>
      </c>
      <c r="E11" s="16"/>
      <c r="F11" s="16"/>
      <c r="G11" s="17"/>
      <c r="H11" s="16"/>
      <c r="I11" s="18">
        <f t="shared" si="0"/>
        <v>0</v>
      </c>
      <c r="J11" s="18">
        <f t="shared" si="1"/>
        <v>0</v>
      </c>
      <c r="K11" s="23" t="s">
        <v>316</v>
      </c>
      <c r="L11" s="23" t="s">
        <v>315</v>
      </c>
      <c r="M11" s="25"/>
    </row>
    <row r="12" spans="1:220" s="6" customFormat="1" ht="85.5" outlineLevel="1">
      <c r="A12" s="13"/>
      <c r="B12" s="14" t="s">
        <v>317</v>
      </c>
      <c r="C12" s="20" t="s">
        <v>95</v>
      </c>
      <c r="D12" s="16">
        <f>17+3.65*2</f>
        <v>24.3</v>
      </c>
      <c r="E12" s="18"/>
      <c r="F12" s="18"/>
      <c r="G12" s="19"/>
      <c r="H12" s="18"/>
      <c r="I12" s="18">
        <f t="shared" si="0"/>
        <v>0</v>
      </c>
      <c r="J12" s="18">
        <f t="shared" si="1"/>
        <v>0</v>
      </c>
      <c r="K12" s="23" t="s">
        <v>318</v>
      </c>
      <c r="L12" s="23" t="s">
        <v>315</v>
      </c>
      <c r="M12" s="25"/>
    </row>
    <row r="13" spans="1:220" s="5" customFormat="1" ht="14.25" outlineLevel="1">
      <c r="A13" s="13"/>
      <c r="B13" s="14" t="s">
        <v>178</v>
      </c>
      <c r="C13" s="15"/>
      <c r="D13" s="16"/>
      <c r="E13" s="16"/>
      <c r="F13" s="16"/>
      <c r="G13" s="17"/>
      <c r="H13" s="16"/>
      <c r="I13" s="18"/>
      <c r="J13" s="18"/>
      <c r="K13" s="23"/>
      <c r="L13" s="23"/>
      <c r="M13" s="24"/>
    </row>
    <row r="14" spans="1:220" s="6" customFormat="1" ht="60" customHeight="1" outlineLevel="1">
      <c r="A14" s="13"/>
      <c r="B14" s="13" t="s">
        <v>319</v>
      </c>
      <c r="C14" s="20" t="s">
        <v>88</v>
      </c>
      <c r="D14" s="16">
        <v>18</v>
      </c>
      <c r="E14" s="16"/>
      <c r="F14" s="16"/>
      <c r="G14" s="17"/>
      <c r="H14" s="16"/>
      <c r="I14" s="18">
        <f>E14+F14*(1+G14)+H14</f>
        <v>0</v>
      </c>
      <c r="J14" s="18">
        <f>I14*D14</f>
        <v>0</v>
      </c>
      <c r="K14" s="23" t="s">
        <v>320</v>
      </c>
      <c r="L14" s="23" t="s">
        <v>315</v>
      </c>
      <c r="M14" s="26" t="s">
        <v>321</v>
      </c>
    </row>
    <row r="15" spans="1:220" s="5" customFormat="1" ht="85.5" outlineLevel="1">
      <c r="A15" s="13"/>
      <c r="B15" s="14" t="s">
        <v>322</v>
      </c>
      <c r="C15" s="15" t="s">
        <v>88</v>
      </c>
      <c r="D15" s="16">
        <v>18</v>
      </c>
      <c r="E15" s="16"/>
      <c r="F15" s="16"/>
      <c r="G15" s="17"/>
      <c r="H15" s="16"/>
      <c r="I15" s="18">
        <f>E15+F15*(1+G15)+H15</f>
        <v>0</v>
      </c>
      <c r="J15" s="18">
        <f>I15*D15</f>
        <v>0</v>
      </c>
      <c r="K15" s="23" t="s">
        <v>323</v>
      </c>
      <c r="L15" s="23" t="s">
        <v>315</v>
      </c>
      <c r="M15" s="24"/>
    </row>
  </sheetData>
  <sheetProtection formatCells="0" formatColumns="0" formatRows="0" insertColumns="0" insertRows="0" insertHyperlinks="0" deleteColumns="0" deleteRows="0" sort="0" autoFilter="0" pivotTables="0"/>
  <mergeCells count="14">
    <mergeCell ref="A1:M1"/>
    <mergeCell ref="A2:M2"/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M3:M4"/>
  </mergeCells>
  <phoneticPr fontId="23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M30" sqref="M30"/>
    </sheetView>
  </sheetViews>
  <sheetFormatPr defaultColWidth="9" defaultRowHeight="15.75"/>
  <sheetData/>
  <sheetProtection formatCells="0" formatColumns="0" formatRows="0" insertColumns="0" insertRows="0" insertHyperlinks="0" deleteColumns="0" deleteRows="0" sort="0" autoFilter="0" pivotTables="0"/>
  <phoneticPr fontId="23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9" master="" otherUserPermission="visible"/>
  <rangeList sheetStid="2" master="" otherUserPermission="visible">
    <arrUserId title="建设单位_2" rangeCreator="" othersAccessPermission="edit"/>
    <arrUserId title="建设单位_1_1" rangeCreator="" othersAccessPermission="edit"/>
  </rangeList>
  <rangeList sheetStid="3" master="" otherUserPermission="visible"/>
  <rangeList sheetStid="10" master="" otherUserPermission="visible"/>
  <rangeList sheetStid="7" master="" otherUserPermission="visible"/>
  <rangeList sheetStid="8" master="" otherUserPermission="visible"/>
</allowEditUser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6" interlineOnOff="0" interlineColor="0" isDbSheet="0" isDashBoardSheet="0" isDbDashBoardSheet="0" isFlexPaperSheet="0">
      <cellprotection/>
      <appEtDbRelations/>
    </woSheetProps>
    <woSheetProps sheetStid="7" interlineOnOff="0" interlineColor="0" isDbSheet="0" isDashBoardSheet="0" isDbDashBoardSheet="0" isFlexPaperSheet="0">
      <cellprotection/>
      <appEtDbRelations/>
    </woSheetProps>
    <woSheetProps sheetStid="8" interlineOnOff="0" interlineColor="0" isDbSheet="0" isDashBoardSheet="0" isDbDashBoardSheet="0" isFlexPaperSheet="0">
      <cellprotection/>
      <appEtDbRelations/>
    </woSheetProps>
  </woSheetsProps>
  <woBookProps>
    <bookSettings fileId="" isFilterShared="0" coreConquerUserId="" isAutoUpdatePaused="0" filterType="user" isMergeTasksAutoUpdate="0" isInserPicAsAttachment="0"/>
  </woBookProps>
</woProps>
</file>

<file path=customXml/item3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6"/>
  <pixelatorList sheetStid="7"/>
  <pixelatorList sheetStid="8"/>
  <pixelatorList sheetStid="9"/>
</pixelators>
</file>

<file path=customXml/item4.xml><?xml version="1.0" encoding="utf-8"?>
<autofilters xmlns="https://web.wps.cn/et/2018/main">
  <sheetItem sheetStid="3">
    <filterData filterID="1628181135">
      <hiddenRange rowFrom="5" rowTo="35"/>
      <hiddenRange rowFrom="37" rowTo="67"/>
      <hiddenRange rowFrom="69" rowTo="91"/>
      <hiddenRange rowFrom="93" rowTo="122"/>
      <hiddenRange rowFrom="124" rowTo="153"/>
      <hiddenRange rowFrom="155" rowTo="182"/>
      <hiddenRange rowFrom="184" rowTo="225"/>
      <hiddenRange rowFrom="227" rowTo="249"/>
      <hiddenRange rowFrom="251" rowTo="271"/>
      <hiddenRange rowFrom="273" rowTo="300"/>
      <hiddenRange rowFrom="302" rowTo="324"/>
      <hiddenRange rowFrom="326" rowTo="354"/>
      <hiddenRange rowFrom="356" rowTo="378"/>
    </filterData>
    <filterData filterID="1630834440">
      <hiddenRange rowFrom="5" rowTo="35"/>
      <hiddenRange rowFrom="37" rowTo="67"/>
      <hiddenRange rowFrom="69" rowTo="91"/>
      <hiddenRange rowFrom="93" rowTo="122"/>
      <hiddenRange rowFrom="124" rowTo="153"/>
      <hiddenRange rowFrom="155" rowTo="182"/>
      <hiddenRange rowFrom="184" rowTo="225"/>
      <hiddenRange rowFrom="227" rowTo="249"/>
      <hiddenRange rowFrom="251" rowTo="271"/>
      <hiddenRange rowFrom="273" rowTo="300"/>
      <hiddenRange rowFrom="302" rowTo="324"/>
      <hiddenRange rowFrom="326" rowTo="354"/>
      <hiddenRange rowFrom="356" rowTo="378"/>
    </filterData>
  </sheetItem>
  <sheetItem sheetStid="4">
    <filterData filterID="1628181135">
      <hiddenRange rowFrom="5" rowTo="41"/>
      <hiddenRange rowFrom="43" rowTo="83"/>
      <hiddenRange rowFrom="85" rowTo="107"/>
      <hiddenRange rowFrom="109" rowTo="136"/>
      <hiddenRange rowFrom="138" rowTo="164"/>
      <hiddenRange rowFrom="166" rowTo="190"/>
      <hiddenRange rowFrom="192" rowTo="196"/>
      <hiddenRange rowFrom="198" rowTo="219"/>
      <hiddenRange rowFrom="221" rowTo="248"/>
      <hiddenRange rowFrom="250" rowTo="254"/>
      <hiddenRange rowFrom="256" rowTo="294"/>
      <hiddenRange rowFrom="296" rowTo="318"/>
      <hiddenRange rowFrom="320" rowTo="341"/>
      <hiddenRange rowFrom="343" rowTo="366"/>
      <hiddenRange rowFrom="368" rowTo="385"/>
      <hiddenRange rowFrom="387" rowTo="391"/>
      <hiddenRange rowFrom="393" rowTo="432"/>
      <hiddenRange rowFrom="434" rowTo="454"/>
      <hiddenRange rowFrom="456" rowTo="480"/>
      <hiddenRange rowFrom="482" rowTo="511"/>
      <hiddenRange rowFrom="513" rowTo="513"/>
      <hiddenRange rowFrom="515" rowTo="522"/>
      <hiddenRange rowFrom="524" rowTo="547"/>
    </filterData>
    <filterData filterID="1630834440">
      <hiddenRange rowFrom="5" rowTo="41"/>
      <hiddenRange rowFrom="43" rowTo="83"/>
      <hiddenRange rowFrom="85" rowTo="107"/>
      <hiddenRange rowFrom="109" rowTo="136"/>
      <hiddenRange rowFrom="138" rowTo="164"/>
      <hiddenRange rowFrom="166" rowTo="190"/>
      <hiddenRange rowFrom="192" rowTo="196"/>
      <hiddenRange rowFrom="198" rowTo="219"/>
      <hiddenRange rowFrom="221" rowTo="248"/>
      <hiddenRange rowFrom="250" rowTo="254"/>
      <hiddenRange rowFrom="256" rowTo="294"/>
      <hiddenRange rowFrom="296" rowTo="318"/>
      <hiddenRange rowFrom="320" rowTo="341"/>
      <hiddenRange rowFrom="343" rowTo="366"/>
      <hiddenRange rowFrom="368" rowTo="385"/>
      <hiddenRange rowFrom="387" rowTo="391"/>
      <hiddenRange rowFrom="393" rowTo="432"/>
      <hiddenRange rowFrom="434" rowTo="454"/>
      <hiddenRange rowFrom="456" rowTo="480"/>
      <hiddenRange rowFrom="482" rowTo="511"/>
      <hiddenRange rowFrom="513" rowTo="513"/>
      <hiddenRange rowFrom="515" rowTo="522"/>
      <hiddenRange rowFrom="524" rowTo="547"/>
    </filterData>
  </sheetItem>
</autofilter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XXXXX</vt:lpstr>
      <vt:lpstr>封面</vt:lpstr>
      <vt:lpstr>汇总</vt:lpstr>
      <vt:lpstr>主甲板工程量</vt:lpstr>
      <vt:lpstr>舱内工程量</vt:lpstr>
      <vt:lpstr>维修</vt:lpstr>
      <vt:lpstr>Sheet1</vt:lpstr>
      <vt:lpstr>汇总!Print_Area</vt:lpstr>
      <vt:lpstr>舱内工程量!Print_Titles</vt:lpstr>
      <vt:lpstr>汇总!Print_Titles</vt:lpstr>
      <vt:lpstr>主甲板工程量!Print_Titles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2006-09-18T16:00:00Z</dcterms:created>
  <dcterms:modified xsi:type="dcterms:W3CDTF">2025-11-20T07:25:16Z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8312687D0DCE409F81D2163AC3BF718D_13</vt:lpwstr>
  </property>
  <property fmtid="{D5CDD505-2E9C-101B-9397-08002B2CF9AE}" pid="4" name="KSOReadingLayout">
    <vt:bool>true</vt:bool>
  </property>
</Properties>
</file>